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alaliM\Desktop\"/>
    </mc:Choice>
  </mc:AlternateContent>
  <bookViews>
    <workbookView xWindow="0" yWindow="0" windowWidth="28800" windowHeight="12330" tabRatio="934"/>
  </bookViews>
  <sheets>
    <sheet name="فيش حقوقی" sheetId="19" r:id="rId1"/>
    <sheet name="JALALI-base - fish" sheetId="42" r:id="rId2"/>
    <sheet name="جدول پایه سنوات" sheetId="125" r:id="rId3"/>
    <sheet name="بخشنامه1403" sheetId="23" r:id="rId4"/>
    <sheet name="بخشنامه1402" sheetId="122" r:id="rId5"/>
    <sheet name="بخشنامه1401" sheetId="124" r:id="rId6"/>
    <sheet name="بخشنامه1400" sheetId="123" r:id="rId7"/>
    <sheet name="MJ-base1" sheetId="5" state="hidden" r:id="rId8"/>
  </sheets>
  <definedNames>
    <definedName name="_xlnm._FilterDatabase" localSheetId="1" hidden="1">'JALALI-base - fish'!$A$4:$AS$17</definedName>
    <definedName name="_xlnm._FilterDatabase" localSheetId="7" hidden="1">'MJ-base1'!$A$8:$BE$14</definedName>
    <definedName name="_xlnm.Print_Area" localSheetId="0">'فيش حقوقی'!$A$1:$I$21</definedName>
  </definedNames>
  <calcPr calcId="162913"/>
</workbook>
</file>

<file path=xl/calcChain.xml><?xml version="1.0" encoding="utf-8"?>
<calcChain xmlns="http://schemas.openxmlformats.org/spreadsheetml/2006/main">
  <c r="AA6" i="42" l="1"/>
  <c r="AA7" i="42"/>
  <c r="AA8" i="42"/>
  <c r="AA9" i="42"/>
  <c r="AA10" i="42"/>
  <c r="AA11" i="42"/>
  <c r="AA12" i="42"/>
  <c r="AA13" i="42"/>
  <c r="AA14" i="42"/>
  <c r="AA15" i="42"/>
  <c r="AA16" i="42"/>
  <c r="AA17" i="42"/>
  <c r="AD6" i="42"/>
  <c r="AD7" i="42"/>
  <c r="AD8" i="42"/>
  <c r="AD9" i="42"/>
  <c r="AD10" i="42"/>
  <c r="AD11" i="42"/>
  <c r="AD12" i="42"/>
  <c r="AD13" i="42"/>
  <c r="AD14" i="42"/>
  <c r="AD15" i="42"/>
  <c r="AD16" i="42"/>
  <c r="AD17" i="42"/>
  <c r="C20" i="19"/>
  <c r="C19" i="19"/>
  <c r="AA5" i="42"/>
  <c r="F12" i="19"/>
  <c r="F11" i="19"/>
  <c r="F10" i="19"/>
  <c r="E7" i="19"/>
  <c r="C18" i="19"/>
  <c r="C17" i="19"/>
  <c r="C16" i="19"/>
  <c r="C14" i="19"/>
  <c r="C9" i="19"/>
  <c r="C10" i="19"/>
  <c r="C7" i="19"/>
  <c r="C15" i="19" l="1"/>
  <c r="AI6" i="42"/>
  <c r="AI7" i="42"/>
  <c r="AI8" i="42"/>
  <c r="AI9" i="42"/>
  <c r="AI10" i="42"/>
  <c r="AI11" i="42"/>
  <c r="AI12" i="42"/>
  <c r="AI13" i="42"/>
  <c r="AI14" i="42"/>
  <c r="AI15" i="42"/>
  <c r="AI16" i="42"/>
  <c r="AI17" i="42"/>
  <c r="AE5" i="42"/>
  <c r="C13" i="19" s="1"/>
  <c r="O16" i="42" l="1"/>
  <c r="O14" i="42"/>
  <c r="O12" i="42"/>
  <c r="O10" i="42"/>
  <c r="O8" i="42"/>
  <c r="O6" i="42"/>
  <c r="O17" i="42"/>
  <c r="O15" i="42"/>
  <c r="O13" i="42"/>
  <c r="O11" i="42"/>
  <c r="O9" i="42"/>
  <c r="O7" i="42"/>
  <c r="AI5" i="42"/>
  <c r="O5" i="42" s="1"/>
  <c r="AP15" i="42"/>
  <c r="AP11" i="42"/>
  <c r="AP7" i="42"/>
  <c r="AP16" i="42"/>
  <c r="AP14" i="42"/>
  <c r="AP12" i="42"/>
  <c r="AP10" i="42"/>
  <c r="AP8" i="42"/>
  <c r="AP6" i="42"/>
  <c r="T17" i="42"/>
  <c r="T15" i="42"/>
  <c r="T11" i="42"/>
  <c r="T7" i="42"/>
  <c r="T16" i="42"/>
  <c r="T14" i="42"/>
  <c r="T12" i="42"/>
  <c r="T10" i="42"/>
  <c r="T8" i="42"/>
  <c r="T6" i="42"/>
  <c r="T9" i="42" l="1"/>
  <c r="T13" i="42"/>
  <c r="AP9" i="42"/>
  <c r="AP13" i="42"/>
  <c r="AP17" i="42"/>
  <c r="T5" i="42"/>
  <c r="AP5" i="42"/>
  <c r="G20" i="42"/>
  <c r="AW22" i="42" s="1"/>
  <c r="Z18" i="42"/>
  <c r="AO17" i="42"/>
  <c r="AQ17" i="42" s="1"/>
  <c r="AC17" i="42"/>
  <c r="U17" i="42"/>
  <c r="S17" i="42"/>
  <c r="N17" i="42"/>
  <c r="K17" i="42"/>
  <c r="AO16" i="42"/>
  <c r="AQ16" i="42" s="1"/>
  <c r="AC16" i="42"/>
  <c r="U16" i="42"/>
  <c r="S16" i="42"/>
  <c r="N16" i="42"/>
  <c r="K16" i="42"/>
  <c r="AO15" i="42"/>
  <c r="AQ15" i="42" s="1"/>
  <c r="AC15" i="42"/>
  <c r="U15" i="42"/>
  <c r="S15" i="42"/>
  <c r="N15" i="42"/>
  <c r="K15" i="42"/>
  <c r="AO14" i="42"/>
  <c r="AQ14" i="42" s="1"/>
  <c r="AC14" i="42"/>
  <c r="U14" i="42"/>
  <c r="S14" i="42"/>
  <c r="N14" i="42"/>
  <c r="K14" i="42"/>
  <c r="AO13" i="42"/>
  <c r="AQ13" i="42" s="1"/>
  <c r="AC13" i="42"/>
  <c r="U13" i="42"/>
  <c r="S13" i="42"/>
  <c r="N13" i="42"/>
  <c r="K13" i="42"/>
  <c r="AO12" i="42"/>
  <c r="AC12" i="42"/>
  <c r="U12" i="42"/>
  <c r="S12" i="42"/>
  <c r="N12" i="42"/>
  <c r="K12" i="42"/>
  <c r="AO11" i="42"/>
  <c r="AQ11" i="42" s="1"/>
  <c r="AC11" i="42"/>
  <c r="U11" i="42"/>
  <c r="S11" i="42"/>
  <c r="N11" i="42"/>
  <c r="K11" i="42"/>
  <c r="AO10" i="42"/>
  <c r="AQ10" i="42" s="1"/>
  <c r="AC10" i="42"/>
  <c r="U10" i="42"/>
  <c r="S10" i="42"/>
  <c r="N10" i="42"/>
  <c r="K10" i="42"/>
  <c r="AO9" i="42"/>
  <c r="AQ9" i="42" s="1"/>
  <c r="AC9" i="42"/>
  <c r="U9" i="42"/>
  <c r="S9" i="42"/>
  <c r="N9" i="42"/>
  <c r="K9" i="42"/>
  <c r="AO8" i="42"/>
  <c r="AQ8" i="42" s="1"/>
  <c r="AC8" i="42"/>
  <c r="U8" i="42"/>
  <c r="S8" i="42"/>
  <c r="N8" i="42"/>
  <c r="K8" i="42"/>
  <c r="AO7" i="42"/>
  <c r="AQ7" i="42" s="1"/>
  <c r="AC7" i="42"/>
  <c r="U7" i="42"/>
  <c r="S7" i="42"/>
  <c r="N7" i="42"/>
  <c r="K7" i="42"/>
  <c r="AO6" i="42"/>
  <c r="AQ6" i="42" s="1"/>
  <c r="AC6" i="42"/>
  <c r="U6" i="42"/>
  <c r="S6" i="42"/>
  <c r="N6" i="42"/>
  <c r="K6" i="42"/>
  <c r="AO5" i="42"/>
  <c r="AC5" i="42"/>
  <c r="AD5" i="42" s="1"/>
  <c r="C12" i="19" s="1"/>
  <c r="U5" i="42"/>
  <c r="C11" i="19" s="1"/>
  <c r="S5" i="42"/>
  <c r="N5" i="42"/>
  <c r="K5" i="42"/>
  <c r="P13" i="42" l="1"/>
  <c r="P5" i="42"/>
  <c r="P6" i="42"/>
  <c r="AJ6" i="42" s="1"/>
  <c r="P14" i="42"/>
  <c r="P16" i="42"/>
  <c r="AJ16" i="42" s="1"/>
  <c r="K18" i="42"/>
  <c r="U18" i="42"/>
  <c r="P12" i="42"/>
  <c r="AJ12" i="42" s="1"/>
  <c r="P17" i="42"/>
  <c r="AJ17" i="42" s="1"/>
  <c r="AQ5" i="42"/>
  <c r="P7" i="42"/>
  <c r="AJ7" i="42" s="1"/>
  <c r="P8" i="42"/>
  <c r="AJ8" i="42" s="1"/>
  <c r="P9" i="42"/>
  <c r="P10" i="42"/>
  <c r="AJ10" i="42" s="1"/>
  <c r="P11" i="42"/>
  <c r="AJ11" i="42" s="1"/>
  <c r="AQ12" i="42"/>
  <c r="P15" i="42"/>
  <c r="AJ14" i="42" l="1"/>
  <c r="AK14" i="42" s="1"/>
  <c r="AR14" i="42" s="1"/>
  <c r="AL14" i="42" s="1"/>
  <c r="AJ9" i="42"/>
  <c r="AK9" i="42" s="1"/>
  <c r="AR9" i="42" s="1"/>
  <c r="AL9" i="42" s="1"/>
  <c r="AK11" i="42"/>
  <c r="AK16" i="42"/>
  <c r="AK6" i="42"/>
  <c r="AJ15" i="42"/>
  <c r="AK15" i="42" s="1"/>
  <c r="AR15" i="42" s="1"/>
  <c r="AL15" i="42" s="1"/>
  <c r="AJ13" i="42"/>
  <c r="AK13" i="42" s="1"/>
  <c r="AR13" i="42" s="1"/>
  <c r="AL13" i="42" s="1"/>
  <c r="AK12" i="42"/>
  <c r="F7" i="19"/>
  <c r="AJ5" i="42"/>
  <c r="AK5" i="42" s="1"/>
  <c r="AR5" i="42" s="1"/>
  <c r="AK17" i="42"/>
  <c r="C8" i="19"/>
  <c r="C21" i="19" s="1"/>
  <c r="AR11" i="42"/>
  <c r="AL11" i="42" s="1"/>
  <c r="AR16" i="42"/>
  <c r="AL16" i="42" s="1"/>
  <c r="AR6" i="42"/>
  <c r="AL6" i="42" s="1"/>
  <c r="AR12" i="42"/>
  <c r="AL12" i="42" s="1"/>
  <c r="AK7" i="42"/>
  <c r="AK10" i="42"/>
  <c r="AK8" i="42"/>
  <c r="P18" i="42"/>
  <c r="AQ18" i="42"/>
  <c r="AR17" i="42" l="1"/>
  <c r="AL17" i="42" s="1"/>
  <c r="F8" i="19"/>
  <c r="AS12" i="42"/>
  <c r="AL5" i="42"/>
  <c r="AR8" i="42"/>
  <c r="AL8" i="42" s="1"/>
  <c r="AR7" i="42"/>
  <c r="AL7" i="42" s="1"/>
  <c r="AR10" i="42"/>
  <c r="AL10" i="42" s="1"/>
  <c r="AJ18" i="42"/>
  <c r="AW12" i="42" l="1"/>
  <c r="AX12" i="42" s="1"/>
  <c r="AS5" i="42"/>
  <c r="F9" i="19" s="1"/>
  <c r="F21" i="19" s="1"/>
  <c r="AS17" i="42"/>
  <c r="AS16" i="42"/>
  <c r="AS11" i="42"/>
  <c r="AS9" i="42"/>
  <c r="AS15" i="42"/>
  <c r="AS13" i="42"/>
  <c r="AS14" i="42"/>
  <c r="AS6" i="42"/>
  <c r="AR18" i="42"/>
  <c r="AW14" i="42" l="1"/>
  <c r="AX14" i="42" s="1"/>
  <c r="AW15" i="42"/>
  <c r="AX15" i="42" s="1"/>
  <c r="AW11" i="42"/>
  <c r="AX11" i="42" s="1"/>
  <c r="AW17" i="42"/>
  <c r="AX17" i="42" s="1"/>
  <c r="AW6" i="42"/>
  <c r="AX6" i="42" s="1"/>
  <c r="AW13" i="42"/>
  <c r="AX13" i="42" s="1"/>
  <c r="AW9" i="42"/>
  <c r="AX9" i="42" s="1"/>
  <c r="AW16" i="42"/>
  <c r="AX16" i="42" s="1"/>
  <c r="AW5" i="42"/>
  <c r="AX5" i="42" s="1"/>
  <c r="AS8" i="42"/>
  <c r="AS7" i="42"/>
  <c r="AW7" i="42" s="1"/>
  <c r="AX7" i="42" s="1"/>
  <c r="AS10" i="42"/>
  <c r="AW10" i="42" l="1"/>
  <c r="AX10" i="42" s="1"/>
  <c r="AW8" i="42"/>
  <c r="AX8" i="42" s="1"/>
  <c r="B7" i="19" l="1"/>
  <c r="B8" i="19"/>
  <c r="B4" i="19" l="1"/>
  <c r="E4" i="19"/>
  <c r="I21" i="19" l="1"/>
  <c r="I9" i="5" l="1"/>
  <c r="I12" i="5"/>
  <c r="T12" i="5" l="1"/>
  <c r="T9" i="5"/>
  <c r="S14" i="5"/>
  <c r="S13" i="5"/>
  <c r="S12" i="5"/>
  <c r="U12" i="5" s="1"/>
  <c r="S11" i="5"/>
  <c r="S10" i="5"/>
  <c r="S9" i="5"/>
  <c r="X9" i="5"/>
  <c r="X10" i="5"/>
  <c r="X11" i="5"/>
  <c r="X12" i="5"/>
  <c r="X13" i="5"/>
  <c r="X14" i="5"/>
  <c r="U9" i="5" l="1"/>
  <c r="I14" i="5" l="1"/>
  <c r="T14" i="5" s="1"/>
  <c r="U14" i="5" s="1"/>
  <c r="I13" i="5"/>
  <c r="T13" i="5" s="1"/>
  <c r="U13" i="5" s="1"/>
  <c r="AZ15" i="5" l="1"/>
  <c r="AY14" i="5" l="1"/>
  <c r="AV14" i="5"/>
  <c r="AS14" i="5"/>
  <c r="AP14" i="5"/>
  <c r="AL14" i="5"/>
  <c r="AK14" i="5"/>
  <c r="AM14" i="5" s="1"/>
  <c r="AF14" i="5"/>
  <c r="O14" i="5"/>
  <c r="N14" i="5"/>
  <c r="P14" i="5" s="1"/>
  <c r="K14" i="5"/>
  <c r="AY13" i="5"/>
  <c r="AV13" i="5"/>
  <c r="AS13" i="5"/>
  <c r="AP13" i="5"/>
  <c r="AK13" i="5"/>
  <c r="AF13" i="5"/>
  <c r="N13" i="5"/>
  <c r="AL13" i="5"/>
  <c r="AY12" i="5"/>
  <c r="AV12" i="5"/>
  <c r="AS12" i="5"/>
  <c r="AP12" i="5"/>
  <c r="AK12" i="5"/>
  <c r="AF12" i="5"/>
  <c r="N12" i="5"/>
  <c r="AL12" i="5"/>
  <c r="AY11" i="5"/>
  <c r="AV11" i="5"/>
  <c r="AS11" i="5"/>
  <c r="AP11" i="5"/>
  <c r="AK11" i="5"/>
  <c r="AF11" i="5"/>
  <c r="N11" i="5"/>
  <c r="I11" i="5"/>
  <c r="AY10" i="5"/>
  <c r="AV10" i="5"/>
  <c r="AS10" i="5"/>
  <c r="AP10" i="5"/>
  <c r="AK10" i="5"/>
  <c r="AF10" i="5"/>
  <c r="N10" i="5"/>
  <c r="I10" i="5"/>
  <c r="T10" i="5" s="1"/>
  <c r="U10" i="5" s="1"/>
  <c r="AY9" i="5"/>
  <c r="AV9" i="5"/>
  <c r="AS9" i="5"/>
  <c r="AP9" i="5"/>
  <c r="AK9" i="5"/>
  <c r="AF9" i="5"/>
  <c r="N9" i="5"/>
  <c r="AL9" i="5"/>
  <c r="AH14" i="5" l="1"/>
  <c r="K10" i="5"/>
  <c r="O10" i="5"/>
  <c r="P10" i="5" s="1"/>
  <c r="AH10" i="5" s="1"/>
  <c r="AL10" i="5"/>
  <c r="AM10" i="5" s="1"/>
  <c r="BB10" i="5" s="1"/>
  <c r="AL11" i="5"/>
  <c r="T11" i="5"/>
  <c r="U11" i="5" s="1"/>
  <c r="AM12" i="5"/>
  <c r="BB12" i="5" s="1"/>
  <c r="K12" i="5"/>
  <c r="O12" i="5"/>
  <c r="P12" i="5" s="1"/>
  <c r="BB14" i="5"/>
  <c r="AM11" i="5"/>
  <c r="BB11" i="5" s="1"/>
  <c r="AM9" i="5"/>
  <c r="BB9" i="5" s="1"/>
  <c r="AM13" i="5"/>
  <c r="BB13" i="5" s="1"/>
  <c r="K9" i="5"/>
  <c r="O9" i="5"/>
  <c r="P9" i="5" s="1"/>
  <c r="K11" i="5"/>
  <c r="O11" i="5"/>
  <c r="P11" i="5" s="1"/>
  <c r="K13" i="5"/>
  <c r="O13" i="5"/>
  <c r="P13" i="5" s="1"/>
  <c r="AH13" i="5" l="1"/>
  <c r="AH11" i="5"/>
  <c r="AH9" i="5"/>
  <c r="AH12" i="5"/>
  <c r="BC12" i="5" s="1"/>
  <c r="BB15" i="5"/>
  <c r="BB19" i="5" s="1"/>
  <c r="BC14" i="5"/>
  <c r="BC10" i="5"/>
  <c r="BC13" i="5"/>
  <c r="BC11" i="5"/>
  <c r="AH19" i="5" l="1"/>
  <c r="BC9" i="5"/>
  <c r="BC19" i="5" s="1"/>
</calcChain>
</file>

<file path=xl/comments1.xml><?xml version="1.0" encoding="utf-8"?>
<comments xmlns="http://schemas.openxmlformats.org/spreadsheetml/2006/main">
  <authors>
    <author>JalaliM</author>
  </authors>
  <commentList>
    <comment ref="F4" authorId="0" shapeId="0">
      <text>
        <r>
          <rPr>
            <b/>
            <sz val="9"/>
            <color indexed="81"/>
            <rFont val="Tahoma"/>
            <family val="2"/>
          </rPr>
          <t>JalaliM:</t>
        </r>
        <r>
          <rPr>
            <sz val="9"/>
            <color indexed="81"/>
            <rFont val="Tahoma"/>
            <family val="2"/>
          </rPr>
          <t xml:space="preserve">
مجرد عدد 1
متاهل عدد 2</t>
        </r>
      </text>
    </comment>
    <comment ref="G4" authorId="0" shapeId="0">
      <text>
        <r>
          <rPr>
            <b/>
            <sz val="9"/>
            <color indexed="81"/>
            <rFont val="Tahoma"/>
            <family val="2"/>
          </rPr>
          <t>JalaliM:</t>
        </r>
        <r>
          <rPr>
            <sz val="9"/>
            <color indexed="81"/>
            <rFont val="Tahoma"/>
            <family val="2"/>
          </rPr>
          <t xml:space="preserve">
میزان سابقه به سال وارد کنید</t>
        </r>
      </text>
    </comment>
  </commentList>
</comments>
</file>

<file path=xl/sharedStrings.xml><?xml version="1.0" encoding="utf-8"?>
<sst xmlns="http://schemas.openxmlformats.org/spreadsheetml/2006/main" count="215" uniqueCount="100">
  <si>
    <t>ردیف</t>
  </si>
  <si>
    <t>شماره پرسنلی</t>
  </si>
  <si>
    <t>نام</t>
  </si>
  <si>
    <t>نام خانوادگی</t>
  </si>
  <si>
    <t>شماره حساب</t>
  </si>
  <si>
    <t>شماره کارت</t>
  </si>
  <si>
    <t>بانک</t>
  </si>
  <si>
    <t>دستمزد روزانه</t>
  </si>
  <si>
    <t>بالای فیش حقوقی</t>
  </si>
  <si>
    <t>دستمزد</t>
  </si>
  <si>
    <t>کارکرد</t>
  </si>
  <si>
    <t>مبلغ</t>
  </si>
  <si>
    <t>هراتی</t>
  </si>
  <si>
    <t>سوده</t>
  </si>
  <si>
    <t>اضافه کار</t>
  </si>
  <si>
    <t>ساعت اضافه کار</t>
  </si>
  <si>
    <t>حقوق و مزایا</t>
  </si>
  <si>
    <t>پاداش</t>
  </si>
  <si>
    <t>ماموریت</t>
  </si>
  <si>
    <t>تعطیل کاری</t>
  </si>
  <si>
    <t>تعداد</t>
  </si>
  <si>
    <t>روز</t>
  </si>
  <si>
    <t>نرخ ماموریت</t>
  </si>
  <si>
    <t>نرخ تعطیل کاری</t>
  </si>
  <si>
    <t>نرخ اضافه کار</t>
  </si>
  <si>
    <t>کسورات</t>
  </si>
  <si>
    <t>تاخیر و تعجیل</t>
  </si>
  <si>
    <t>ساعت تاخیر و تعجیل</t>
  </si>
  <si>
    <t>نرخ تاخیر و تعجیل</t>
  </si>
  <si>
    <t>جریمه تاخیر و تعجیل</t>
  </si>
  <si>
    <t>تعداد تاخیر</t>
  </si>
  <si>
    <t>نرخ تاخیر</t>
  </si>
  <si>
    <t>جمع کل حقوق و مزایا</t>
  </si>
  <si>
    <t>جریمه تاخیرگزارش</t>
  </si>
  <si>
    <t>جریمه تاخیرعدم گزارش</t>
  </si>
  <si>
    <t>مساعده</t>
  </si>
  <si>
    <t>توبیخ</t>
  </si>
  <si>
    <t>تعداد توبیخ</t>
  </si>
  <si>
    <t>نرخ توبیخ</t>
  </si>
  <si>
    <t>جمع کل کسورات</t>
  </si>
  <si>
    <t>خالص پرداختنی</t>
  </si>
  <si>
    <t>اصیلی</t>
  </si>
  <si>
    <t>صالح</t>
  </si>
  <si>
    <t>تاریخ واریز</t>
  </si>
  <si>
    <t>تاریخ حقوق</t>
  </si>
  <si>
    <t>اسدی</t>
  </si>
  <si>
    <t>الهام</t>
  </si>
  <si>
    <t>شهریاری</t>
  </si>
  <si>
    <t>علی</t>
  </si>
  <si>
    <t>خسروی پور</t>
  </si>
  <si>
    <t>سیما</t>
  </si>
  <si>
    <t>محبوبه</t>
  </si>
  <si>
    <t>علی زاده</t>
  </si>
  <si>
    <t>شماره رهگیری</t>
  </si>
  <si>
    <t>نرخ</t>
  </si>
  <si>
    <t>فروردین 1394</t>
  </si>
  <si>
    <t>پاداش موردی</t>
  </si>
  <si>
    <t>سختی کار / حق سرپرستی</t>
  </si>
  <si>
    <t>جمع کسورات بدون کسری کار</t>
  </si>
  <si>
    <t>قسط وام</t>
  </si>
  <si>
    <t>سایر کسورات</t>
  </si>
  <si>
    <t>مبلـــــغ</t>
  </si>
  <si>
    <t>توضیحات</t>
  </si>
  <si>
    <t>جمع کل کسور</t>
  </si>
  <si>
    <t>خالص پرداختی</t>
  </si>
  <si>
    <t>تاریخ استخدام</t>
  </si>
  <si>
    <t>قراردادی</t>
  </si>
  <si>
    <t>نام خانوادگی:</t>
  </si>
  <si>
    <t>شماره کارت:</t>
  </si>
  <si>
    <t>نوع استخدام:</t>
  </si>
  <si>
    <t>حق مسکن</t>
  </si>
  <si>
    <t>بن کارگری</t>
  </si>
  <si>
    <t>کد</t>
  </si>
  <si>
    <t>7% بیمه سهم کارگر</t>
  </si>
  <si>
    <t>:نام</t>
  </si>
  <si>
    <t>مالیات</t>
  </si>
  <si>
    <t>اضافه کاری</t>
  </si>
  <si>
    <t>کارانه</t>
  </si>
  <si>
    <t>حق سرپرستی</t>
  </si>
  <si>
    <t>مانده مرخصی</t>
  </si>
  <si>
    <t>پورسانت فروش</t>
  </si>
  <si>
    <t>فروردین ماه 1403</t>
  </si>
  <si>
    <t>حق تاهل</t>
  </si>
  <si>
    <t>تعداد روز ماموریت</t>
  </si>
  <si>
    <t>حق جذب</t>
  </si>
  <si>
    <t>حق اولاد</t>
  </si>
  <si>
    <t>تعداد فرزند</t>
  </si>
  <si>
    <t>پایه سنوات</t>
  </si>
  <si>
    <t>ماهان محاسب فکور</t>
  </si>
  <si>
    <t>کسر کار</t>
  </si>
  <si>
    <t>متاهل 1 مجرد 2</t>
  </si>
  <si>
    <t>سابقه</t>
  </si>
  <si>
    <t>سنوات</t>
  </si>
  <si>
    <t>سایر مزایای به تبع شغل</t>
  </si>
  <si>
    <t>جمع حقوق به تبع روز</t>
  </si>
  <si>
    <r>
      <t xml:space="preserve">جمع حقوق مزایای مشمول </t>
    </r>
    <r>
      <rPr>
        <b/>
        <u/>
        <sz val="12"/>
        <color theme="1"/>
        <rFont val="B Nazanin"/>
        <charset val="178"/>
      </rPr>
      <t>مالیات</t>
    </r>
  </si>
  <si>
    <r>
      <t xml:space="preserve">جمع حقوق و مزایای مشمول </t>
    </r>
    <r>
      <rPr>
        <b/>
        <u/>
        <sz val="12"/>
        <color theme="1"/>
        <rFont val="B Nazanin"/>
        <charset val="178"/>
      </rPr>
      <t>بیمه</t>
    </r>
  </si>
  <si>
    <t>WWW.MAHAN-MOHASEB.COM</t>
  </si>
  <si>
    <t>فیش حقوقی پرسنل</t>
  </si>
  <si>
    <t>سایر مزایا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</si>
</sst>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_-"/>
  </numFmts>
  <fonts count="14" x14ac:knownFonts="1">
    <font>
      <sz val="11"/>
      <color theme="1"/>
      <name val="Calibri"/>
      <family val="2"/>
      <charset val="178"/>
      <scheme val="minor"/>
    </font>
    <font>
      <sz val="12"/>
      <color theme="1"/>
      <name val="B Nazanin"/>
      <charset val="178"/>
    </font>
    <font>
      <b/>
      <sz val="11"/>
      <color theme="1"/>
      <name val="B Nazanin"/>
      <charset val="178"/>
    </font>
    <font>
      <b/>
      <sz val="14"/>
      <color theme="1"/>
      <name val="B Nazanin"/>
      <charset val="178"/>
    </font>
    <font>
      <sz val="14"/>
      <color theme="1"/>
      <name val="B Nazanin"/>
      <charset val="178"/>
    </font>
    <font>
      <b/>
      <sz val="28"/>
      <color theme="1"/>
      <name val="B Nazanin"/>
      <charset val="178"/>
    </font>
    <font>
      <b/>
      <sz val="15"/>
      <color theme="1"/>
      <name val="B Nazanin"/>
      <charset val="178"/>
    </font>
    <font>
      <b/>
      <sz val="18"/>
      <color theme="1"/>
      <name val="B Nazanin"/>
      <charset val="178"/>
    </font>
    <font>
      <sz val="11"/>
      <color theme="1"/>
      <name val="B Nazanin"/>
      <charset val="178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color theme="1"/>
      <name val="B Nazanin"/>
      <charset val="178"/>
    </font>
    <font>
      <b/>
      <u/>
      <sz val="12"/>
      <color theme="1"/>
      <name val="B Nazanin"/>
      <charset val="178"/>
    </font>
    <font>
      <u/>
      <sz val="11"/>
      <color theme="10"/>
      <name val="Calibri"/>
      <family val="2"/>
      <charset val="178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</fills>
  <borders count="6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</borders>
  <cellStyleXfs count="2">
    <xf numFmtId="0" fontId="0" fillId="0" borderId="0"/>
    <xf numFmtId="0" fontId="13" fillId="0" borderId="0" applyNumberFormat="0" applyFill="0" applyBorder="0" applyAlignment="0" applyProtection="0"/>
  </cellStyleXfs>
  <cellXfs count="173">
    <xf numFmtId="0" fontId="0" fillId="0" borderId="0" xfId="0"/>
    <xf numFmtId="0" fontId="2" fillId="0" borderId="0" xfId="0" applyFont="1" applyAlignment="1">
      <alignment horizontal="center" vertical="center" shrinkToFit="1"/>
    </xf>
    <xf numFmtId="0" fontId="1" fillId="0" borderId="1" xfId="0" applyFont="1" applyBorder="1" applyAlignment="1">
      <alignment horizontal="center" vertical="center" shrinkToFit="1"/>
    </xf>
    <xf numFmtId="0" fontId="1" fillId="0" borderId="0" xfId="0" applyFont="1" applyAlignment="1">
      <alignment horizontal="center" vertical="center" shrinkToFit="1"/>
    </xf>
    <xf numFmtId="0" fontId="1" fillId="2" borderId="1" xfId="0" applyFont="1" applyFill="1" applyBorder="1" applyAlignment="1">
      <alignment horizontal="center" vertical="center" shrinkToFit="1"/>
    </xf>
    <xf numFmtId="0" fontId="1" fillId="2" borderId="2" xfId="0" applyFont="1" applyFill="1" applyBorder="1" applyAlignment="1">
      <alignment horizontal="center" vertical="center" shrinkToFit="1"/>
    </xf>
    <xf numFmtId="0" fontId="1" fillId="2" borderId="10" xfId="0" applyFont="1" applyFill="1" applyBorder="1" applyAlignment="1">
      <alignment horizontal="center" vertical="center" shrinkToFit="1"/>
    </xf>
    <xf numFmtId="0" fontId="1" fillId="0" borderId="2" xfId="0" applyFont="1" applyBorder="1" applyAlignment="1">
      <alignment horizontal="center" vertical="center" shrinkToFit="1"/>
    </xf>
    <xf numFmtId="0" fontId="1" fillId="3" borderId="13" xfId="0" applyFont="1" applyFill="1" applyBorder="1" applyAlignment="1">
      <alignment horizontal="center" vertical="center" shrinkToFit="1"/>
    </xf>
    <xf numFmtId="0" fontId="1" fillId="2" borderId="13" xfId="0" applyFont="1" applyFill="1" applyBorder="1" applyAlignment="1">
      <alignment horizontal="center" vertical="center" shrinkToFit="1"/>
    </xf>
    <xf numFmtId="0" fontId="1" fillId="5" borderId="16" xfId="0" applyFont="1" applyFill="1" applyBorder="1" applyAlignment="1">
      <alignment horizontal="center" vertical="center" shrinkToFit="1"/>
    </xf>
    <xf numFmtId="0" fontId="1" fillId="5" borderId="9" xfId="0" applyFont="1" applyFill="1" applyBorder="1" applyAlignment="1">
      <alignment horizontal="center" vertical="center" shrinkToFit="1"/>
    </xf>
    <xf numFmtId="0" fontId="1" fillId="0" borderId="11" xfId="0" applyFont="1" applyBorder="1" applyAlignment="1">
      <alignment horizontal="center" vertical="center" shrinkToFit="1"/>
    </xf>
    <xf numFmtId="0" fontId="1" fillId="5" borderId="12" xfId="0" applyFont="1" applyFill="1" applyBorder="1" applyAlignment="1">
      <alignment horizontal="center" vertical="center" shrinkToFit="1"/>
    </xf>
    <xf numFmtId="20" fontId="1" fillId="0" borderId="6" xfId="0" applyNumberFormat="1" applyFont="1" applyBorder="1" applyAlignment="1">
      <alignment horizontal="center" vertical="center" shrinkToFit="1"/>
    </xf>
    <xf numFmtId="164" fontId="1" fillId="0" borderId="6" xfId="0" applyNumberFormat="1" applyFont="1" applyBorder="1" applyAlignment="1">
      <alignment horizontal="center" vertical="center" shrinkToFit="1"/>
    </xf>
    <xf numFmtId="164" fontId="1" fillId="0" borderId="22" xfId="0" applyNumberFormat="1" applyFont="1" applyBorder="1" applyAlignment="1">
      <alignment horizontal="center" vertical="center" shrinkToFit="1"/>
    </xf>
    <xf numFmtId="0" fontId="1" fillId="0" borderId="23" xfId="0" applyFont="1" applyBorder="1" applyAlignment="1">
      <alignment horizontal="center" vertical="center" shrinkToFit="1"/>
    </xf>
    <xf numFmtId="0" fontId="1" fillId="0" borderId="6" xfId="0" applyFont="1" applyBorder="1" applyAlignment="1">
      <alignment horizontal="center" vertical="center" shrinkToFit="1"/>
    </xf>
    <xf numFmtId="0" fontId="1" fillId="0" borderId="22" xfId="0" applyFont="1" applyBorder="1" applyAlignment="1">
      <alignment horizontal="center" vertical="center" shrinkToFit="1"/>
    </xf>
    <xf numFmtId="0" fontId="1" fillId="4" borderId="11" xfId="0" applyFont="1" applyFill="1" applyBorder="1" applyAlignment="1">
      <alignment horizontal="center" vertical="center" shrinkToFit="1"/>
    </xf>
    <xf numFmtId="0" fontId="1" fillId="4" borderId="26" xfId="0" applyFont="1" applyFill="1" applyBorder="1" applyAlignment="1">
      <alignment horizontal="center" vertical="center" shrinkToFit="1"/>
    </xf>
    <xf numFmtId="0" fontId="1" fillId="6" borderId="27" xfId="0" applyFont="1" applyFill="1" applyBorder="1" applyAlignment="1">
      <alignment horizontal="center" vertical="center" shrinkToFit="1"/>
    </xf>
    <xf numFmtId="164" fontId="1" fillId="6" borderId="28" xfId="0" applyNumberFormat="1" applyFont="1" applyFill="1" applyBorder="1" applyAlignment="1">
      <alignment horizontal="center" vertical="center" shrinkToFit="1"/>
    </xf>
    <xf numFmtId="0" fontId="1" fillId="2" borderId="4" xfId="0" applyFont="1" applyFill="1" applyBorder="1" applyAlignment="1">
      <alignment horizontal="center" vertical="center" shrinkToFit="1"/>
    </xf>
    <xf numFmtId="0" fontId="1" fillId="0" borderId="5" xfId="0" applyFont="1" applyBorder="1" applyAlignment="1">
      <alignment horizontal="center" vertical="center" shrinkToFit="1"/>
    </xf>
    <xf numFmtId="46" fontId="1" fillId="0" borderId="7" xfId="0" applyNumberFormat="1" applyFont="1" applyBorder="1" applyAlignment="1">
      <alignment horizontal="center" vertical="center" shrinkToFit="1"/>
    </xf>
    <xf numFmtId="0" fontId="1" fillId="2" borderId="30" xfId="0" applyFont="1" applyFill="1" applyBorder="1" applyAlignment="1">
      <alignment horizontal="center" vertical="center" shrinkToFit="1"/>
    </xf>
    <xf numFmtId="46" fontId="1" fillId="0" borderId="23" xfId="0" applyNumberFormat="1" applyFont="1" applyBorder="1" applyAlignment="1">
      <alignment horizontal="center" vertical="center" shrinkToFit="1"/>
    </xf>
    <xf numFmtId="0" fontId="3" fillId="2" borderId="8" xfId="0" applyFont="1" applyFill="1" applyBorder="1" applyAlignment="1">
      <alignment horizontal="center" vertical="center" shrinkToFit="1"/>
    </xf>
    <xf numFmtId="0" fontId="4" fillId="0" borderId="20" xfId="0" applyFont="1" applyBorder="1" applyAlignment="1">
      <alignment horizontal="center" vertical="center" shrinkToFit="1"/>
    </xf>
    <xf numFmtId="0" fontId="4" fillId="2" borderId="20" xfId="0" applyFont="1" applyFill="1" applyBorder="1" applyAlignment="1">
      <alignment horizontal="center" vertical="center" shrinkToFit="1"/>
    </xf>
    <xf numFmtId="49" fontId="4" fillId="2" borderId="20" xfId="0" applyNumberFormat="1" applyFont="1" applyFill="1" applyBorder="1" applyAlignment="1">
      <alignment horizontal="center" vertical="center" shrinkToFit="1"/>
    </xf>
    <xf numFmtId="49" fontId="4" fillId="7" borderId="28" xfId="0" applyNumberFormat="1" applyFont="1" applyFill="1" applyBorder="1" applyAlignment="1">
      <alignment horizontal="center" vertical="center" shrinkToFit="1"/>
    </xf>
    <xf numFmtId="0" fontId="1" fillId="2" borderId="34" xfId="0" applyFont="1" applyFill="1" applyBorder="1" applyAlignment="1">
      <alignment horizontal="center" vertical="center" shrinkToFit="1"/>
    </xf>
    <xf numFmtId="164" fontId="1" fillId="0" borderId="24" xfId="0" applyNumberFormat="1" applyFont="1" applyBorder="1" applyAlignment="1">
      <alignment horizontal="center" vertical="center" shrinkToFit="1"/>
    </xf>
    <xf numFmtId="0" fontId="1" fillId="4" borderId="33" xfId="0" applyFont="1" applyFill="1" applyBorder="1" applyAlignment="1">
      <alignment horizontal="center" vertical="center" shrinkToFit="1"/>
    </xf>
    <xf numFmtId="164" fontId="0" fillId="0" borderId="0" xfId="0" applyNumberFormat="1"/>
    <xf numFmtId="0" fontId="1" fillId="0" borderId="36" xfId="0" applyFont="1" applyBorder="1" applyAlignment="1">
      <alignment horizontal="center" vertical="center" shrinkToFit="1"/>
    </xf>
    <xf numFmtId="164" fontId="1" fillId="0" borderId="37" xfId="0" applyNumberFormat="1" applyFont="1" applyBorder="1" applyAlignment="1">
      <alignment horizontal="center" vertical="center" shrinkToFit="1"/>
    </xf>
    <xf numFmtId="164" fontId="3" fillId="7" borderId="28" xfId="0" applyNumberFormat="1" applyFont="1" applyFill="1" applyBorder="1" applyAlignment="1">
      <alignment horizontal="center" vertical="center" shrinkToFit="1"/>
    </xf>
    <xf numFmtId="164" fontId="6" fillId="2" borderId="35" xfId="0" applyNumberFormat="1" applyFont="1" applyFill="1" applyBorder="1"/>
    <xf numFmtId="20" fontId="0" fillId="0" borderId="0" xfId="0" applyNumberFormat="1"/>
    <xf numFmtId="164" fontId="0" fillId="0" borderId="0" xfId="0" applyNumberFormat="1" applyAlignment="1">
      <alignment shrinkToFit="1"/>
    </xf>
    <xf numFmtId="164" fontId="6" fillId="2" borderId="35" xfId="0" applyNumberFormat="1" applyFont="1" applyFill="1" applyBorder="1" applyAlignment="1">
      <alignment shrinkToFit="1"/>
    </xf>
    <xf numFmtId="0" fontId="0" fillId="0" borderId="0" xfId="0" applyAlignment="1">
      <alignment shrinkToFit="1"/>
    </xf>
    <xf numFmtId="0" fontId="1" fillId="4" borderId="8" xfId="0" applyFont="1" applyFill="1" applyBorder="1" applyAlignment="1">
      <alignment horizontal="center" vertical="center" shrinkToFit="1"/>
    </xf>
    <xf numFmtId="46" fontId="1" fillId="0" borderId="0" xfId="0" applyNumberFormat="1" applyFont="1" applyBorder="1" applyAlignment="1">
      <alignment horizontal="center" vertical="center" shrinkToFit="1"/>
    </xf>
    <xf numFmtId="20" fontId="1" fillId="0" borderId="0" xfId="0" applyNumberFormat="1" applyFont="1" applyBorder="1" applyAlignment="1">
      <alignment horizontal="center" vertical="center" shrinkToFit="1"/>
    </xf>
    <xf numFmtId="164" fontId="1" fillId="0" borderId="0" xfId="0" applyNumberFormat="1" applyFont="1" applyBorder="1" applyAlignment="1">
      <alignment horizontal="center" vertical="center" shrinkToFit="1"/>
    </xf>
    <xf numFmtId="0" fontId="1" fillId="0" borderId="40" xfId="0" applyFont="1" applyBorder="1" applyAlignment="1">
      <alignment horizontal="center" vertical="center" shrinkToFit="1"/>
    </xf>
    <xf numFmtId="0" fontId="1" fillId="5" borderId="44" xfId="0" applyFont="1" applyFill="1" applyBorder="1" applyAlignment="1">
      <alignment horizontal="center" vertical="center" shrinkToFit="1"/>
    </xf>
    <xf numFmtId="164" fontId="1" fillId="0" borderId="36" xfId="0" applyNumberFormat="1" applyFont="1" applyBorder="1" applyAlignment="1">
      <alignment horizontal="center" vertical="center" shrinkToFit="1"/>
    </xf>
    <xf numFmtId="164" fontId="1" fillId="0" borderId="1" xfId="0" applyNumberFormat="1" applyFont="1" applyBorder="1" applyAlignment="1">
      <alignment horizontal="center" vertical="center" shrinkToFit="1"/>
    </xf>
    <xf numFmtId="0" fontId="2" fillId="0" borderId="0" xfId="0" applyFont="1"/>
    <xf numFmtId="0" fontId="2" fillId="0" borderId="0" xfId="0" applyFont="1" applyAlignment="1"/>
    <xf numFmtId="0" fontId="2" fillId="0" borderId="0" xfId="0" applyFont="1" applyAlignment="1">
      <alignment shrinkToFit="1"/>
    </xf>
    <xf numFmtId="0" fontId="2" fillId="0" borderId="46" xfId="0" applyFont="1" applyBorder="1" applyAlignment="1">
      <alignment shrinkToFit="1"/>
    </xf>
    <xf numFmtId="0" fontId="8" fillId="0" borderId="0" xfId="0" applyFont="1" applyAlignment="1">
      <alignment shrinkToFit="1"/>
    </xf>
    <xf numFmtId="164" fontId="8" fillId="4" borderId="35" xfId="0" applyNumberFormat="1" applyFont="1" applyFill="1" applyBorder="1" applyAlignment="1">
      <alignment shrinkToFit="1"/>
    </xf>
    <xf numFmtId="164" fontId="2" fillId="0" borderId="51" xfId="0" applyNumberFormat="1" applyFont="1" applyBorder="1" applyAlignment="1">
      <alignment shrinkToFit="1"/>
    </xf>
    <xf numFmtId="0" fontId="1" fillId="5" borderId="2" xfId="0" applyFont="1" applyFill="1" applyBorder="1" applyAlignment="1">
      <alignment horizontal="center" vertical="center" shrinkToFit="1"/>
    </xf>
    <xf numFmtId="0" fontId="1" fillId="5" borderId="20" xfId="0" applyFont="1" applyFill="1" applyBorder="1" applyAlignment="1">
      <alignment horizontal="center" vertical="center" shrinkToFit="1"/>
    </xf>
    <xf numFmtId="0" fontId="1" fillId="5" borderId="1" xfId="0" applyFont="1" applyFill="1" applyBorder="1" applyAlignment="1">
      <alignment horizontal="center" vertical="center" shrinkToFit="1"/>
    </xf>
    <xf numFmtId="164" fontId="1" fillId="0" borderId="55" xfId="0" applyNumberFormat="1" applyFont="1" applyBorder="1" applyAlignment="1">
      <alignment horizontal="center" vertical="center" shrinkToFit="1"/>
    </xf>
    <xf numFmtId="0" fontId="2" fillId="0" borderId="0" xfId="0" applyFont="1" applyBorder="1" applyAlignment="1">
      <alignment horizontal="left" shrinkToFit="1"/>
    </xf>
    <xf numFmtId="0" fontId="2" fillId="0" borderId="0" xfId="0" applyFont="1" applyBorder="1" applyAlignment="1">
      <alignment horizontal="left"/>
    </xf>
    <xf numFmtId="0" fontId="2" fillId="0" borderId="0" xfId="0" applyFont="1" applyBorder="1" applyAlignment="1">
      <alignment horizontal="right"/>
    </xf>
    <xf numFmtId="0" fontId="2" fillId="0" borderId="0" xfId="0" applyFont="1" applyBorder="1"/>
    <xf numFmtId="0" fontId="2" fillId="0" borderId="0" xfId="0" applyFont="1" applyBorder="1" applyAlignment="1">
      <alignment shrinkToFit="1"/>
    </xf>
    <xf numFmtId="0" fontId="2" fillId="2" borderId="51" xfId="0" applyFont="1" applyFill="1" applyBorder="1" applyAlignment="1">
      <alignment horizontal="center"/>
    </xf>
    <xf numFmtId="164" fontId="2" fillId="0" borderId="46" xfId="0" applyNumberFormat="1" applyFont="1" applyBorder="1" applyAlignment="1">
      <alignment horizontal="center" vertical="center" shrinkToFit="1"/>
    </xf>
    <xf numFmtId="0" fontId="2" fillId="0" borderId="0" xfId="0" applyFont="1" applyBorder="1" applyAlignment="1">
      <alignment horizontal="left" shrinkToFit="1" readingOrder="1"/>
    </xf>
    <xf numFmtId="0" fontId="2" fillId="0" borderId="46" xfId="0" applyFont="1" applyBorder="1" applyAlignment="1">
      <alignment horizontal="right" shrinkToFit="1"/>
    </xf>
    <xf numFmtId="0" fontId="2" fillId="0" borderId="48" xfId="0" applyFont="1" applyBorder="1" applyAlignment="1">
      <alignment horizontal="center" vertical="center"/>
    </xf>
    <xf numFmtId="46" fontId="2" fillId="0" borderId="48" xfId="0" applyNumberFormat="1" applyFont="1" applyBorder="1" applyAlignment="1">
      <alignment horizontal="center" vertical="center"/>
    </xf>
    <xf numFmtId="1" fontId="2" fillId="0" borderId="48" xfId="0" applyNumberFormat="1" applyFont="1" applyBorder="1" applyAlignment="1">
      <alignment horizontal="center" vertical="center"/>
    </xf>
    <xf numFmtId="0" fontId="2" fillId="2" borderId="59" xfId="0" applyFont="1" applyFill="1" applyBorder="1" applyAlignment="1">
      <alignment horizontal="center" shrinkToFit="1"/>
    </xf>
    <xf numFmtId="0" fontId="2" fillId="0" borderId="60" xfId="0" applyFont="1" applyBorder="1" applyAlignment="1">
      <alignment shrinkToFit="1"/>
    </xf>
    <xf numFmtId="0" fontId="2" fillId="0" borderId="48" xfId="0" applyNumberFormat="1" applyFont="1" applyBorder="1" applyAlignment="1">
      <alignment horizontal="center" vertical="center" shrinkToFit="1"/>
    </xf>
    <xf numFmtId="1" fontId="2" fillId="0" borderId="48" xfId="0" applyNumberFormat="1" applyFont="1" applyBorder="1" applyAlignment="1">
      <alignment horizontal="center" vertical="center" shrinkToFit="1"/>
    </xf>
    <xf numFmtId="164" fontId="11" fillId="2" borderId="62" xfId="0" applyNumberFormat="1" applyFont="1" applyFill="1" applyBorder="1" applyAlignment="1"/>
    <xf numFmtId="0" fontId="1" fillId="5" borderId="34" xfId="0" applyFont="1" applyFill="1" applyBorder="1" applyAlignment="1">
      <alignment horizontal="center" vertical="center" shrinkToFit="1"/>
    </xf>
    <xf numFmtId="164" fontId="8" fillId="4" borderId="0" xfId="0" applyNumberFormat="1" applyFont="1" applyFill="1" applyBorder="1" applyAlignment="1">
      <alignment shrinkToFit="1"/>
    </xf>
    <xf numFmtId="3" fontId="2" fillId="0" borderId="53" xfId="0" applyNumberFormat="1" applyFont="1" applyBorder="1" applyAlignment="1">
      <alignment horizontal="center" vertical="center" shrinkToFit="1"/>
    </xf>
    <xf numFmtId="20" fontId="1" fillId="0" borderId="7" xfId="0" applyNumberFormat="1" applyFont="1" applyBorder="1" applyAlignment="1">
      <alignment horizontal="center" vertical="center" shrinkToFit="1"/>
    </xf>
    <xf numFmtId="164" fontId="1" fillId="5" borderId="1" xfId="0" applyNumberFormat="1" applyFont="1" applyFill="1" applyBorder="1" applyAlignment="1">
      <alignment horizontal="center" vertical="center" shrinkToFit="1"/>
    </xf>
    <xf numFmtId="164" fontId="1" fillId="5" borderId="22" xfId="0" applyNumberFormat="1" applyFont="1" applyFill="1" applyBorder="1" applyAlignment="1">
      <alignment horizontal="center" vertical="center" shrinkToFit="1"/>
    </xf>
    <xf numFmtId="46" fontId="1" fillId="5" borderId="23" xfId="0" applyNumberFormat="1" applyFont="1" applyFill="1" applyBorder="1" applyAlignment="1">
      <alignment horizontal="center" vertical="center" shrinkToFit="1"/>
    </xf>
    <xf numFmtId="20" fontId="1" fillId="5" borderId="6" xfId="0" applyNumberFormat="1" applyFont="1" applyFill="1" applyBorder="1" applyAlignment="1">
      <alignment horizontal="center" vertical="center" shrinkToFit="1"/>
    </xf>
    <xf numFmtId="164" fontId="1" fillId="5" borderId="37" xfId="0" applyNumberFormat="1" applyFont="1" applyFill="1" applyBorder="1" applyAlignment="1">
      <alignment horizontal="center" vertical="center" shrinkToFit="1"/>
    </xf>
    <xf numFmtId="164" fontId="1" fillId="5" borderId="24" xfId="0" applyNumberFormat="1" applyFont="1" applyFill="1" applyBorder="1" applyAlignment="1">
      <alignment horizontal="center" vertical="center" shrinkToFit="1"/>
    </xf>
    <xf numFmtId="164" fontId="1" fillId="5" borderId="55" xfId="0" applyNumberFormat="1" applyFont="1" applyFill="1" applyBorder="1" applyAlignment="1">
      <alignment horizontal="center" vertical="center" shrinkToFit="1"/>
    </xf>
    <xf numFmtId="46" fontId="1" fillId="5" borderId="7" xfId="0" applyNumberFormat="1" applyFont="1" applyFill="1" applyBorder="1" applyAlignment="1">
      <alignment horizontal="center" vertical="center" shrinkToFit="1"/>
    </xf>
    <xf numFmtId="0" fontId="1" fillId="5" borderId="0" xfId="0" applyFont="1" applyFill="1" applyAlignment="1">
      <alignment horizontal="center" vertical="center" shrinkToFit="1"/>
    </xf>
    <xf numFmtId="0" fontId="1" fillId="0" borderId="40" xfId="0" applyFont="1" applyBorder="1" applyAlignment="1">
      <alignment horizontal="center" vertical="center" shrinkToFit="1"/>
    </xf>
    <xf numFmtId="0" fontId="1" fillId="0" borderId="33" xfId="0" applyFont="1" applyBorder="1" applyAlignment="1">
      <alignment horizontal="center" vertical="center" shrinkToFit="1"/>
    </xf>
    <xf numFmtId="0" fontId="1" fillId="8" borderId="34" xfId="0" applyFont="1" applyFill="1" applyBorder="1" applyAlignment="1">
      <alignment horizontal="center" vertical="center" shrinkToFit="1"/>
    </xf>
    <xf numFmtId="0" fontId="2" fillId="5" borderId="46" xfId="0" applyFont="1" applyFill="1" applyBorder="1" applyAlignment="1">
      <alignment shrinkToFit="1"/>
    </xf>
    <xf numFmtId="0" fontId="2" fillId="5" borderId="48" xfId="0" applyFont="1" applyFill="1" applyBorder="1" applyAlignment="1">
      <alignment horizontal="center" vertical="center"/>
    </xf>
    <xf numFmtId="164" fontId="2" fillId="5" borderId="46" xfId="0" applyNumberFormat="1" applyFont="1" applyFill="1" applyBorder="1" applyAlignment="1">
      <alignment horizontal="center" vertical="center" shrinkToFit="1"/>
    </xf>
    <xf numFmtId="164" fontId="2" fillId="0" borderId="0" xfId="0" applyNumberFormat="1" applyFont="1" applyAlignment="1">
      <alignment horizontal="center" vertical="center" shrinkToFit="1"/>
    </xf>
    <xf numFmtId="0" fontId="1" fillId="4" borderId="54" xfId="0" applyFont="1" applyFill="1" applyBorder="1" applyAlignment="1">
      <alignment horizontal="center" vertical="center" shrinkToFit="1"/>
    </xf>
    <xf numFmtId="0" fontId="1" fillId="4" borderId="33" xfId="0" applyFont="1" applyFill="1" applyBorder="1" applyAlignment="1">
      <alignment horizontal="center" vertical="center" shrinkToFit="1"/>
    </xf>
    <xf numFmtId="0" fontId="1" fillId="4" borderId="8" xfId="0" applyFont="1" applyFill="1" applyBorder="1" applyAlignment="1">
      <alignment horizontal="center" vertical="center" shrinkToFit="1"/>
    </xf>
    <xf numFmtId="0" fontId="1" fillId="4" borderId="18" xfId="0" applyFont="1" applyFill="1" applyBorder="1" applyAlignment="1">
      <alignment horizontal="center" vertical="center" shrinkToFit="1"/>
    </xf>
    <xf numFmtId="164" fontId="0" fillId="0" borderId="0" xfId="0" applyNumberFormat="1" applyAlignment="1">
      <alignment horizontal="center"/>
    </xf>
    <xf numFmtId="0" fontId="3" fillId="2" borderId="21" xfId="0" applyFont="1" applyFill="1" applyBorder="1" applyAlignment="1">
      <alignment horizontal="center" vertical="center" shrinkToFit="1"/>
    </xf>
    <xf numFmtId="0" fontId="1" fillId="4" borderId="33" xfId="0" applyFont="1" applyFill="1" applyBorder="1" applyAlignment="1">
      <alignment horizontal="center" vertical="center" shrinkToFit="1"/>
    </xf>
    <xf numFmtId="0" fontId="1" fillId="0" borderId="19" xfId="0" applyFont="1" applyBorder="1" applyAlignment="1">
      <alignment horizontal="center" vertical="center" shrinkToFit="1"/>
    </xf>
    <xf numFmtId="0" fontId="1" fillId="4" borderId="63" xfId="0" applyFont="1" applyFill="1" applyBorder="1" applyAlignment="1">
      <alignment horizontal="center" vertical="center" shrinkToFit="1"/>
    </xf>
    <xf numFmtId="0" fontId="3" fillId="2" borderId="20" xfId="0" applyFont="1" applyFill="1" applyBorder="1" applyAlignment="1">
      <alignment horizontal="center" vertical="center" shrinkToFit="1"/>
    </xf>
    <xf numFmtId="0" fontId="3" fillId="2" borderId="1" xfId="0" applyFont="1" applyFill="1" applyBorder="1" applyAlignment="1">
      <alignment horizontal="center" vertical="center" shrinkToFit="1"/>
    </xf>
    <xf numFmtId="0" fontId="1" fillId="4" borderId="64" xfId="0" applyFont="1" applyFill="1" applyBorder="1" applyAlignment="1">
      <alignment horizontal="center" vertical="center" shrinkToFit="1"/>
    </xf>
    <xf numFmtId="0" fontId="1" fillId="6" borderId="3" xfId="0" applyFont="1" applyFill="1" applyBorder="1" applyAlignment="1">
      <alignment horizontal="center" vertical="center" shrinkToFit="1"/>
    </xf>
    <xf numFmtId="164" fontId="1" fillId="6" borderId="36" xfId="0" applyNumberFormat="1" applyFont="1" applyFill="1" applyBorder="1" applyAlignment="1">
      <alignment horizontal="center" vertical="center" shrinkToFit="1"/>
    </xf>
    <xf numFmtId="164" fontId="6" fillId="2" borderId="0" xfId="0" applyNumberFormat="1" applyFont="1" applyFill="1" applyBorder="1" applyAlignment="1">
      <alignment shrinkToFit="1"/>
    </xf>
    <xf numFmtId="0" fontId="1" fillId="4" borderId="65" xfId="0" applyFont="1" applyFill="1" applyBorder="1" applyAlignment="1">
      <alignment horizontal="center" vertical="center" shrinkToFit="1"/>
    </xf>
    <xf numFmtId="0" fontId="1" fillId="6" borderId="66" xfId="0" applyFont="1" applyFill="1" applyBorder="1" applyAlignment="1">
      <alignment horizontal="center" vertical="center" shrinkToFit="1"/>
    </xf>
    <xf numFmtId="164" fontId="1" fillId="6" borderId="67" xfId="0" applyNumberFormat="1" applyFont="1" applyFill="1" applyBorder="1" applyAlignment="1">
      <alignment horizontal="center" vertical="center" shrinkToFit="1"/>
    </xf>
    <xf numFmtId="3" fontId="0" fillId="0" borderId="0" xfId="0" applyNumberFormat="1"/>
    <xf numFmtId="0" fontId="1" fillId="8" borderId="9" xfId="0" applyFont="1" applyFill="1" applyBorder="1" applyAlignment="1">
      <alignment horizontal="center" vertical="center" shrinkToFit="1"/>
    </xf>
    <xf numFmtId="0" fontId="1" fillId="8" borderId="20" xfId="0" applyFont="1" applyFill="1" applyBorder="1" applyAlignment="1">
      <alignment horizontal="center" vertical="center" shrinkToFit="1"/>
    </xf>
    <xf numFmtId="0" fontId="1" fillId="8" borderId="12" xfId="0" applyFont="1" applyFill="1" applyBorder="1" applyAlignment="1">
      <alignment horizontal="center" vertical="center" shrinkToFit="1"/>
    </xf>
    <xf numFmtId="0" fontId="1" fillId="8" borderId="2" xfId="0" applyFont="1" applyFill="1" applyBorder="1" applyAlignment="1">
      <alignment horizontal="center" vertical="center" shrinkToFit="1"/>
    </xf>
    <xf numFmtId="0" fontId="1" fillId="3" borderId="34" xfId="0" applyFont="1" applyFill="1" applyBorder="1" applyAlignment="1">
      <alignment horizontal="center" vertical="center" shrinkToFit="1"/>
    </xf>
    <xf numFmtId="0" fontId="11" fillId="0" borderId="0" xfId="0" applyFont="1" applyBorder="1" applyAlignment="1">
      <alignment horizontal="right"/>
    </xf>
    <xf numFmtId="0" fontId="2" fillId="0" borderId="47" xfId="0" applyFont="1" applyBorder="1" applyAlignment="1">
      <alignment horizontal="right" shrinkToFit="1"/>
    </xf>
    <xf numFmtId="0" fontId="2" fillId="0" borderId="0" xfId="0" applyFont="1" applyBorder="1" applyAlignment="1">
      <alignment horizontal="right" shrinkToFit="1"/>
    </xf>
    <xf numFmtId="0" fontId="2" fillId="0" borderId="48" xfId="0" applyFont="1" applyBorder="1" applyAlignment="1">
      <alignment horizontal="right" shrinkToFit="1"/>
    </xf>
    <xf numFmtId="0" fontId="2" fillId="2" borderId="52" xfId="0" applyFont="1" applyFill="1" applyBorder="1" applyAlignment="1">
      <alignment horizontal="center"/>
    </xf>
    <xf numFmtId="0" fontId="2" fillId="2" borderId="49" xfId="0" applyFont="1" applyFill="1" applyBorder="1" applyAlignment="1">
      <alignment horizontal="center"/>
    </xf>
    <xf numFmtId="0" fontId="2" fillId="2" borderId="50" xfId="0" applyFont="1" applyFill="1" applyBorder="1" applyAlignment="1">
      <alignment horizontal="center"/>
    </xf>
    <xf numFmtId="0" fontId="2" fillId="0" borderId="56" xfId="0" applyFont="1" applyBorder="1" applyAlignment="1">
      <alignment horizontal="right" shrinkToFit="1"/>
    </xf>
    <xf numFmtId="0" fontId="2" fillId="0" borderId="57" xfId="0" applyFont="1" applyBorder="1" applyAlignment="1">
      <alignment horizontal="right" shrinkToFit="1"/>
    </xf>
    <xf numFmtId="0" fontId="2" fillId="0" borderId="58" xfId="0" applyFont="1" applyBorder="1" applyAlignment="1">
      <alignment horizontal="right" shrinkToFit="1"/>
    </xf>
    <xf numFmtId="0" fontId="2" fillId="0" borderId="61" xfId="0" applyFont="1" applyBorder="1" applyAlignment="1">
      <alignment horizontal="center" shrinkToFit="1"/>
    </xf>
    <xf numFmtId="0" fontId="2" fillId="0" borderId="50" xfId="0" applyFont="1" applyBorder="1" applyAlignment="1">
      <alignment horizontal="center" shrinkToFit="1"/>
    </xf>
    <xf numFmtId="0" fontId="2" fillId="0" borderId="52" xfId="0" applyFont="1" applyBorder="1" applyAlignment="1">
      <alignment horizontal="center" shrinkToFit="1"/>
    </xf>
    <xf numFmtId="164" fontId="7" fillId="2" borderId="38" xfId="0" applyNumberFormat="1" applyFont="1" applyFill="1" applyBorder="1" applyAlignment="1">
      <alignment horizontal="center" vertical="center" shrinkToFit="1"/>
    </xf>
    <xf numFmtId="164" fontId="7" fillId="2" borderId="39" xfId="0" applyNumberFormat="1" applyFont="1" applyFill="1" applyBorder="1" applyAlignment="1">
      <alignment horizontal="center" vertical="center" shrinkToFit="1"/>
    </xf>
    <xf numFmtId="0" fontId="5" fillId="0" borderId="3" xfId="0" applyFont="1" applyBorder="1" applyAlignment="1">
      <alignment horizontal="center" vertical="center" shrinkToFit="1"/>
    </xf>
    <xf numFmtId="0" fontId="5" fillId="0" borderId="32" xfId="0" applyFont="1" applyBorder="1" applyAlignment="1">
      <alignment horizontal="center" vertical="center" shrinkToFit="1"/>
    </xf>
    <xf numFmtId="0" fontId="1" fillId="4" borderId="1" xfId="0" applyFont="1" applyFill="1" applyBorder="1" applyAlignment="1">
      <alignment horizontal="center" vertical="center" shrinkToFit="1"/>
    </xf>
    <xf numFmtId="0" fontId="1" fillId="4" borderId="2" xfId="0" applyFont="1" applyFill="1" applyBorder="1" applyAlignment="1">
      <alignment horizontal="center" vertical="center" shrinkToFit="1"/>
    </xf>
    <xf numFmtId="0" fontId="1" fillId="4" borderId="31" xfId="0" applyFont="1" applyFill="1" applyBorder="1" applyAlignment="1">
      <alignment horizontal="center" vertical="center" shrinkToFit="1"/>
    </xf>
    <xf numFmtId="0" fontId="1" fillId="4" borderId="8" xfId="0" applyFont="1" applyFill="1" applyBorder="1" applyAlignment="1">
      <alignment horizontal="center" vertical="center" shrinkToFit="1"/>
    </xf>
    <xf numFmtId="0" fontId="1" fillId="4" borderId="17" xfId="0" applyFont="1" applyFill="1" applyBorder="1" applyAlignment="1">
      <alignment horizontal="center" vertical="center" shrinkToFit="1"/>
    </xf>
    <xf numFmtId="0" fontId="1" fillId="4" borderId="18" xfId="0" applyFont="1" applyFill="1" applyBorder="1" applyAlignment="1">
      <alignment horizontal="center" vertical="center" shrinkToFit="1"/>
    </xf>
    <xf numFmtId="0" fontId="1" fillId="4" borderId="19" xfId="0" applyFont="1" applyFill="1" applyBorder="1" applyAlignment="1">
      <alignment horizontal="center" vertical="center" shrinkToFit="1"/>
    </xf>
    <xf numFmtId="0" fontId="3" fillId="2" borderId="41" xfId="0" applyFont="1" applyFill="1" applyBorder="1" applyAlignment="1">
      <alignment horizontal="center" vertical="center" shrinkToFit="1"/>
    </xf>
    <xf numFmtId="0" fontId="3" fillId="2" borderId="42" xfId="0" applyFont="1" applyFill="1" applyBorder="1" applyAlignment="1">
      <alignment horizontal="center" vertical="center" shrinkToFit="1"/>
    </xf>
    <xf numFmtId="0" fontId="3" fillId="2" borderId="21" xfId="0" applyFont="1" applyFill="1" applyBorder="1" applyAlignment="1">
      <alignment horizontal="center" vertical="center" shrinkToFit="1"/>
    </xf>
    <xf numFmtId="0" fontId="3" fillId="2" borderId="43" xfId="0" applyFont="1" applyFill="1" applyBorder="1" applyAlignment="1">
      <alignment horizontal="center" vertical="center" shrinkToFit="1"/>
    </xf>
    <xf numFmtId="0" fontId="0" fillId="0" borderId="0" xfId="0" applyAlignment="1">
      <alignment horizontal="center"/>
    </xf>
    <xf numFmtId="164" fontId="7" fillId="2" borderId="45" xfId="0" applyNumberFormat="1" applyFont="1" applyFill="1" applyBorder="1" applyAlignment="1">
      <alignment horizontal="center" vertical="center" shrinkToFit="1"/>
    </xf>
    <xf numFmtId="0" fontId="3" fillId="2" borderId="25" xfId="0" applyFont="1" applyFill="1" applyBorder="1" applyAlignment="1">
      <alignment horizontal="center" vertical="center" shrinkToFit="1"/>
    </xf>
    <xf numFmtId="0" fontId="1" fillId="4" borderId="54" xfId="0" applyFont="1" applyFill="1" applyBorder="1" applyAlignment="1">
      <alignment horizontal="center" vertical="center" shrinkToFit="1"/>
    </xf>
    <xf numFmtId="0" fontId="1" fillId="4" borderId="33" xfId="0" applyFont="1" applyFill="1" applyBorder="1" applyAlignment="1">
      <alignment horizontal="center" vertical="center" shrinkToFit="1"/>
    </xf>
    <xf numFmtId="0" fontId="1" fillId="4" borderId="63" xfId="0" applyFont="1" applyFill="1" applyBorder="1" applyAlignment="1">
      <alignment horizontal="center" vertical="center" shrinkToFit="1"/>
    </xf>
    <xf numFmtId="0" fontId="1" fillId="0" borderId="29" xfId="0" applyFont="1" applyBorder="1" applyAlignment="1">
      <alignment horizontal="center" vertical="center" shrinkToFit="1"/>
    </xf>
    <xf numFmtId="0" fontId="1" fillId="0" borderId="14" xfId="0" applyFont="1" applyBorder="1" applyAlignment="1">
      <alignment horizontal="center" vertical="center" shrinkToFit="1"/>
    </xf>
    <xf numFmtId="0" fontId="1" fillId="0" borderId="15" xfId="0" applyFont="1" applyBorder="1" applyAlignment="1">
      <alignment horizontal="center" vertical="center" shrinkToFit="1"/>
    </xf>
    <xf numFmtId="0" fontId="1" fillId="4" borderId="40" xfId="0" applyFont="1" applyFill="1" applyBorder="1" applyAlignment="1">
      <alignment horizontal="center" vertical="center" shrinkToFit="1"/>
    </xf>
    <xf numFmtId="164" fontId="7" fillId="2" borderId="38" xfId="0" applyNumberFormat="1" applyFont="1" applyFill="1" applyBorder="1" applyAlignment="1">
      <alignment horizontal="center" shrinkToFit="1"/>
    </xf>
    <xf numFmtId="164" fontId="7" fillId="2" borderId="39" xfId="0" applyNumberFormat="1" applyFont="1" applyFill="1" applyBorder="1" applyAlignment="1">
      <alignment horizontal="center" shrinkToFit="1"/>
    </xf>
    <xf numFmtId="0" fontId="1" fillId="0" borderId="17" xfId="0" applyFont="1" applyBorder="1" applyAlignment="1">
      <alignment horizontal="center" vertical="center" shrinkToFit="1"/>
    </xf>
    <xf numFmtId="0" fontId="1" fillId="0" borderId="18" xfId="0" applyFont="1" applyBorder="1" applyAlignment="1">
      <alignment horizontal="center" vertical="center" shrinkToFit="1"/>
    </xf>
    <xf numFmtId="0" fontId="1" fillId="0" borderId="19" xfId="0" applyFont="1" applyBorder="1" applyAlignment="1">
      <alignment horizontal="center" vertical="center" shrinkToFit="1"/>
    </xf>
    <xf numFmtId="0" fontId="2" fillId="0" borderId="0" xfId="0" applyFont="1" applyAlignment="1">
      <alignment horizontal="center" shrinkToFit="1"/>
    </xf>
    <xf numFmtId="0" fontId="13" fillId="0" borderId="0" xfId="1" applyAlignment="1">
      <alignment horizontal="center" shrinkToFit="1"/>
    </xf>
    <xf numFmtId="0" fontId="11" fillId="0" borderId="0" xfId="0" applyFont="1" applyBorder="1" applyAlignment="1">
      <alignment horizontal="center" shrinkToFit="1"/>
    </xf>
    <xf numFmtId="0" fontId="8" fillId="0" borderId="0" xfId="0" applyFont="1" applyBorder="1" applyAlignment="1">
      <alignment horizontal="center" shrinkToFi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</xdr:rowOff>
    </xdr:from>
    <xdr:to>
      <xdr:col>5</xdr:col>
      <xdr:colOff>276225</xdr:colOff>
      <xdr:row>19</xdr:row>
      <xdr:rowOff>86195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8456975" y="1"/>
          <a:ext cx="4895850" cy="4791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381000</xdr:colOff>
      <xdr:row>0</xdr:row>
      <xdr:rowOff>0</xdr:rowOff>
    </xdr:from>
    <xdr:to>
      <xdr:col>20</xdr:col>
      <xdr:colOff>581025</xdr:colOff>
      <xdr:row>25</xdr:row>
      <xdr:rowOff>190500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9046275" y="0"/>
          <a:ext cx="9305925" cy="6381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133350</xdr:colOff>
      <xdr:row>26</xdr:row>
      <xdr:rowOff>211150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8063003" y="0"/>
          <a:ext cx="7899026" cy="6620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179294</xdr:colOff>
      <xdr:row>35</xdr:row>
      <xdr:rowOff>151851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8622176" y="0"/>
          <a:ext cx="7339853" cy="8780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11</xdr:col>
      <xdr:colOff>22412</xdr:colOff>
      <xdr:row>30</xdr:row>
      <xdr:rowOff>73199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7568823" y="0"/>
          <a:ext cx="8393205" cy="746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mahan-mohaseb.com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J22"/>
  <sheetViews>
    <sheetView rightToLeft="1" tabSelected="1" view="pageBreakPreview" zoomScale="130" zoomScaleNormal="100" zoomScaleSheetLayoutView="130" workbookViewId="0">
      <selection activeCell="D15" sqref="D15"/>
    </sheetView>
  </sheetViews>
  <sheetFormatPr defaultColWidth="9" defaultRowHeight="19.5" x14ac:dyDescent="0.5"/>
  <cols>
    <col min="1" max="1" width="16.42578125" style="56" customWidth="1"/>
    <col min="2" max="2" width="9" style="54" bestFit="1" customWidth="1"/>
    <col min="3" max="3" width="9.7109375" style="54" customWidth="1"/>
    <col min="4" max="4" width="15.5703125" style="56" customWidth="1"/>
    <col min="5" max="5" width="9" style="54"/>
    <col min="6" max="6" width="10.28515625" style="54" customWidth="1"/>
    <col min="7" max="7" width="5.42578125" style="54" customWidth="1"/>
    <col min="8" max="8" width="6.5703125" style="54" customWidth="1"/>
    <col min="9" max="9" width="17.28515625" style="54" customWidth="1"/>
    <col min="10" max="16384" width="9" style="54"/>
  </cols>
  <sheetData>
    <row r="1" spans="1:10" x14ac:dyDescent="0.5">
      <c r="A1" s="170" t="s">
        <v>97</v>
      </c>
      <c r="B1" s="169"/>
      <c r="C1" s="169"/>
      <c r="D1" s="169"/>
      <c r="E1" s="169"/>
      <c r="F1" s="169"/>
      <c r="G1" s="169"/>
      <c r="H1" s="169"/>
      <c r="I1" s="169"/>
    </row>
    <row r="2" spans="1:10" ht="19.5" customHeight="1" x14ac:dyDescent="0.55000000000000004">
      <c r="A2" s="171" t="s">
        <v>98</v>
      </c>
      <c r="B2" s="171"/>
      <c r="C2" s="171"/>
      <c r="D2" s="171"/>
      <c r="E2" s="171"/>
      <c r="F2" s="171"/>
      <c r="G2" s="171"/>
      <c r="H2" s="171"/>
      <c r="I2" s="171"/>
    </row>
    <row r="3" spans="1:10" ht="18.75" customHeight="1" x14ac:dyDescent="0.5">
      <c r="A3" s="172" t="s">
        <v>81</v>
      </c>
      <c r="B3" s="172"/>
      <c r="C3" s="172"/>
      <c r="D3" s="172"/>
      <c r="E3" s="172"/>
      <c r="F3" s="172"/>
      <c r="G3" s="172"/>
      <c r="H3" s="172"/>
      <c r="I3" s="172"/>
    </row>
    <row r="4" spans="1:10" ht="21" x14ac:dyDescent="0.55000000000000004">
      <c r="A4" s="65" t="s">
        <v>67</v>
      </c>
      <c r="B4" s="126" t="str">
        <f>VLOOKUP(B5,'JALALI-base - fish'!A5:AS18,3)</f>
        <v>ماهان محاسب فکور</v>
      </c>
      <c r="C4" s="126"/>
      <c r="D4" s="72" t="s">
        <v>74</v>
      </c>
      <c r="E4" s="126" t="str">
        <f>VLOOKUP(B5,'JALALI-base - fish'!A5:AS18,4)</f>
        <v>ماهان محاسب فکور</v>
      </c>
      <c r="F4" s="126"/>
      <c r="G4" s="66"/>
      <c r="H4" s="67"/>
      <c r="I4" s="68"/>
    </row>
    <row r="5" spans="1:10" ht="20.25" thickBot="1" x14ac:dyDescent="0.55000000000000004">
      <c r="A5" s="65" t="s">
        <v>68</v>
      </c>
      <c r="B5" s="69">
        <v>1</v>
      </c>
      <c r="C5" s="68"/>
      <c r="D5" s="65" t="s">
        <v>69</v>
      </c>
      <c r="E5" s="68" t="s">
        <v>66</v>
      </c>
      <c r="F5" s="68"/>
      <c r="G5" s="68"/>
      <c r="H5" s="68"/>
      <c r="I5" s="68"/>
    </row>
    <row r="6" spans="1:10" ht="21" thickTop="1" thickBot="1" x14ac:dyDescent="0.55000000000000004">
      <c r="A6" s="77" t="s">
        <v>16</v>
      </c>
      <c r="B6" s="70" t="s">
        <v>10</v>
      </c>
      <c r="C6" s="70" t="s">
        <v>61</v>
      </c>
      <c r="D6" s="77" t="s">
        <v>25</v>
      </c>
      <c r="E6" s="70" t="s">
        <v>10</v>
      </c>
      <c r="F6" s="70" t="s">
        <v>61</v>
      </c>
      <c r="G6" s="130" t="s">
        <v>62</v>
      </c>
      <c r="H6" s="131"/>
      <c r="I6" s="132"/>
      <c r="J6" s="55"/>
    </row>
    <row r="7" spans="1:10" ht="20.25" thickTop="1" x14ac:dyDescent="0.5">
      <c r="A7" s="78" t="s">
        <v>9</v>
      </c>
      <c r="B7" s="74">
        <f>VLOOKUP(B5,'JALALI-base - fish'!A5:AS18,10)</f>
        <v>31</v>
      </c>
      <c r="C7" s="71">
        <f>VLOOKUP(B5,'JALALI-base - fish'!5:18,11)</f>
        <v>74050568</v>
      </c>
      <c r="D7" s="78" t="s">
        <v>89</v>
      </c>
      <c r="E7" s="75">
        <f>VLOOKUP(B5,'JALALI-base - fish'!A5:AS18,39)</f>
        <v>0</v>
      </c>
      <c r="F7" s="71">
        <f ca="1">VLOOKUP(B5,'JALALI-base - fish'!A5:AS18,43)</f>
        <v>0</v>
      </c>
      <c r="G7" s="133"/>
      <c r="H7" s="134"/>
      <c r="I7" s="135"/>
    </row>
    <row r="8" spans="1:10" x14ac:dyDescent="0.5">
      <c r="A8" s="57" t="s">
        <v>76</v>
      </c>
      <c r="B8" s="75">
        <f>VLOOKUP(B5,'JALALI-base - fish'!A5:AS18,12)</f>
        <v>0</v>
      </c>
      <c r="C8" s="71">
        <f ca="1">VLOOKUP(B5,'JALALI-base - fish'!5:18,16)</f>
        <v>0</v>
      </c>
      <c r="D8" s="73" t="s">
        <v>73</v>
      </c>
      <c r="E8" s="79"/>
      <c r="F8" s="71">
        <f ca="1">VLOOKUP(B5,'JALALI-base - fish'!A5:AS90,44)</f>
        <v>6793539.7600000007</v>
      </c>
      <c r="G8" s="127"/>
      <c r="H8" s="128"/>
      <c r="I8" s="129"/>
    </row>
    <row r="9" spans="1:10" x14ac:dyDescent="0.5">
      <c r="A9" s="57" t="s">
        <v>70</v>
      </c>
      <c r="B9" s="75"/>
      <c r="C9" s="71">
        <f>VLOOKUP(B5,'JALALI-base - fish'!5:18,32)</f>
        <v>9000000</v>
      </c>
      <c r="D9" s="57" t="s">
        <v>75</v>
      </c>
      <c r="E9" s="80"/>
      <c r="F9" s="71">
        <f ca="1">VLOOKUP(B5,'JALALI-base - fish'!A5:AS18,45)</f>
        <v>0</v>
      </c>
      <c r="G9" s="127"/>
      <c r="H9" s="128"/>
      <c r="I9" s="129"/>
    </row>
    <row r="10" spans="1:10" ht="19.5" customHeight="1" x14ac:dyDescent="0.5">
      <c r="A10" s="57" t="s">
        <v>71</v>
      </c>
      <c r="B10" s="76"/>
      <c r="C10" s="71">
        <f>VLOOKUP(B5,'JALALI-base - fish'!A5:AS18,33)</f>
        <v>14000000</v>
      </c>
      <c r="D10" s="73" t="s">
        <v>35</v>
      </c>
      <c r="E10" s="80"/>
      <c r="F10" s="71">
        <f>VLOOKUP(B5,'JALALI-base - fish'!A2:AX18,46,0)</f>
        <v>0</v>
      </c>
      <c r="G10" s="127"/>
      <c r="H10" s="128"/>
      <c r="I10" s="129"/>
    </row>
    <row r="11" spans="1:10" ht="19.5" customHeight="1" x14ac:dyDescent="0.5">
      <c r="A11" s="57" t="s">
        <v>18</v>
      </c>
      <c r="B11" s="75"/>
      <c r="C11" s="71">
        <f ca="1">VLOOKUP(B5,'JALALI-base - fish'!A5:AS18,21)</f>
        <v>0</v>
      </c>
      <c r="D11" s="57" t="s">
        <v>59</v>
      </c>
      <c r="E11" s="80"/>
      <c r="F11" s="71">
        <f>VLOOKUP(B5,'JALALI-base - fish'!A2:AX19,47)</f>
        <v>0</v>
      </c>
      <c r="G11" s="127"/>
      <c r="H11" s="128"/>
      <c r="I11" s="129"/>
    </row>
    <row r="12" spans="1:10" x14ac:dyDescent="0.5">
      <c r="A12" s="57" t="s">
        <v>85</v>
      </c>
      <c r="B12" s="74"/>
      <c r="C12" s="71">
        <f>VLOOKUP(B5,'JALALI-base - fish'!A5:AS18,30)</f>
        <v>0</v>
      </c>
      <c r="D12" s="57" t="s">
        <v>60</v>
      </c>
      <c r="E12" s="80"/>
      <c r="F12" s="71">
        <f>VLOOKUP(B5,'JALALI-base - fish'!A2:AX19,48)</f>
        <v>0</v>
      </c>
      <c r="G12" s="127"/>
      <c r="H12" s="128"/>
      <c r="I12" s="129"/>
    </row>
    <row r="13" spans="1:10" x14ac:dyDescent="0.5">
      <c r="A13" s="57" t="s">
        <v>82</v>
      </c>
      <c r="B13" s="74"/>
      <c r="C13" s="71">
        <f>VLOOKUP(B5,'JALALI-base - fish'!A5:AS18,31)</f>
        <v>0</v>
      </c>
      <c r="D13" s="73"/>
      <c r="E13" s="80"/>
      <c r="F13" s="71"/>
      <c r="G13" s="127"/>
      <c r="H13" s="128"/>
      <c r="I13" s="129"/>
    </row>
    <row r="14" spans="1:10" ht="21" customHeight="1" x14ac:dyDescent="0.5">
      <c r="A14" s="57" t="s">
        <v>84</v>
      </c>
      <c r="B14" s="74"/>
      <c r="C14" s="71">
        <f>VLOOKUP(B5,'JALALI-base - fish'!A5:AS18,25)</f>
        <v>0</v>
      </c>
      <c r="D14" s="57"/>
      <c r="E14" s="80"/>
      <c r="F14" s="71"/>
      <c r="G14" s="127"/>
      <c r="H14" s="128"/>
      <c r="I14" s="129"/>
    </row>
    <row r="15" spans="1:10" x14ac:dyDescent="0.5">
      <c r="A15" s="57" t="s">
        <v>87</v>
      </c>
      <c r="B15" s="74"/>
      <c r="C15" s="71">
        <f ca="1">VLOOKUP(B5,'JALALI-base - fish'!A5:AS18,27)</f>
        <v>0</v>
      </c>
      <c r="D15" s="57"/>
      <c r="E15" s="79"/>
      <c r="F15" s="71"/>
      <c r="G15" s="127"/>
      <c r="H15" s="128"/>
      <c r="I15" s="129"/>
    </row>
    <row r="16" spans="1:10" x14ac:dyDescent="0.5">
      <c r="A16" s="57" t="s">
        <v>79</v>
      </c>
      <c r="B16" s="74"/>
      <c r="C16" s="71">
        <f>VLOOKUP(B5,'JALALI-base - fish'!A5:AS18,24)</f>
        <v>0</v>
      </c>
      <c r="D16" s="57"/>
      <c r="E16" s="80"/>
      <c r="F16" s="71"/>
      <c r="G16" s="127"/>
      <c r="H16" s="128"/>
      <c r="I16" s="129"/>
    </row>
    <row r="17" spans="1:9" x14ac:dyDescent="0.5">
      <c r="A17" s="98" t="s">
        <v>80</v>
      </c>
      <c r="B17" s="99"/>
      <c r="C17" s="100">
        <f>VLOOKUP(B5,'JALALI-base - fish'!A5:AS18,23)</f>
        <v>0</v>
      </c>
      <c r="D17" s="57"/>
      <c r="E17" s="80"/>
      <c r="F17" s="71"/>
      <c r="G17" s="127"/>
      <c r="H17" s="128"/>
      <c r="I17" s="129"/>
    </row>
    <row r="18" spans="1:9" x14ac:dyDescent="0.5">
      <c r="A18" s="57" t="s">
        <v>99</v>
      </c>
      <c r="B18" s="74"/>
      <c r="C18" s="71">
        <f>VLOOKUP(B5,'JALALI-base - fish'!A5:AS18,34)</f>
        <v>0</v>
      </c>
      <c r="D18" s="57"/>
      <c r="E18" s="80"/>
      <c r="F18" s="71"/>
      <c r="G18" s="127"/>
      <c r="H18" s="128"/>
      <c r="I18" s="129"/>
    </row>
    <row r="19" spans="1:9" x14ac:dyDescent="0.5">
      <c r="A19" s="57" t="s">
        <v>78</v>
      </c>
      <c r="B19" s="74"/>
      <c r="C19" s="71">
        <f>VLOOKUP(B5,'JALALI-base - fish'!A2:AX19,26)</f>
        <v>0</v>
      </c>
      <c r="D19" s="57"/>
      <c r="E19" s="80"/>
      <c r="F19" s="71"/>
      <c r="G19" s="127"/>
      <c r="H19" s="128"/>
      <c r="I19" s="129"/>
    </row>
    <row r="20" spans="1:9" ht="20.25" thickBot="1" x14ac:dyDescent="0.55000000000000004">
      <c r="A20" s="57" t="s">
        <v>77</v>
      </c>
      <c r="B20" s="74"/>
      <c r="C20" s="71">
        <f>VLOOKUP(B5,'JALALI-base - fish'!A2:AX19,22)</f>
        <v>0</v>
      </c>
      <c r="D20" s="57"/>
      <c r="E20" s="80"/>
      <c r="F20" s="71"/>
      <c r="G20" s="127"/>
      <c r="H20" s="128"/>
      <c r="I20" s="129"/>
    </row>
    <row r="21" spans="1:9" ht="22.5" thickTop="1" thickBot="1" x14ac:dyDescent="0.6">
      <c r="A21" s="136" t="s">
        <v>32</v>
      </c>
      <c r="B21" s="137"/>
      <c r="C21" s="60">
        <f ca="1">SUM(C7:C20)</f>
        <v>97050568</v>
      </c>
      <c r="D21" s="138" t="s">
        <v>63</v>
      </c>
      <c r="E21" s="137"/>
      <c r="F21" s="60">
        <f ca="1">SUM(F7:F20)</f>
        <v>6793539.7600000007</v>
      </c>
      <c r="G21" s="130" t="s">
        <v>64</v>
      </c>
      <c r="H21" s="132"/>
      <c r="I21" s="81">
        <f ca="1">C21-F21</f>
        <v>90257028.239999995</v>
      </c>
    </row>
    <row r="22" spans="1:9" ht="20.25" thickTop="1" x14ac:dyDescent="0.5"/>
  </sheetData>
  <mergeCells count="23">
    <mergeCell ref="G20:I20"/>
    <mergeCell ref="A1:I1"/>
    <mergeCell ref="A2:I2"/>
    <mergeCell ref="A3:I3"/>
    <mergeCell ref="G21:H21"/>
    <mergeCell ref="A21:B21"/>
    <mergeCell ref="D21:E21"/>
    <mergeCell ref="G12:I12"/>
    <mergeCell ref="G16:I16"/>
    <mergeCell ref="G19:I19"/>
    <mergeCell ref="G14:I14"/>
    <mergeCell ref="G13:I13"/>
    <mergeCell ref="G10:I10"/>
    <mergeCell ref="G11:I11"/>
    <mergeCell ref="G15:I15"/>
    <mergeCell ref="G17:I17"/>
    <mergeCell ref="G18:I18"/>
    <mergeCell ref="B4:C4"/>
    <mergeCell ref="E4:F4"/>
    <mergeCell ref="G8:I8"/>
    <mergeCell ref="G9:I9"/>
    <mergeCell ref="G6:I6"/>
    <mergeCell ref="G7:I7"/>
  </mergeCells>
  <hyperlinks>
    <hyperlink ref="A1" r:id="rId1"/>
  </hyperlinks>
  <printOptions horizontalCentered="1"/>
  <pageMargins left="0" right="0" top="0" bottom="0" header="0" footer="0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AX22"/>
  <sheetViews>
    <sheetView rightToLeft="1" zoomScale="115" zoomScaleNormal="115" workbookViewId="0">
      <selection activeCell="O9" sqref="O9"/>
    </sheetView>
  </sheetViews>
  <sheetFormatPr defaultRowHeight="15" x14ac:dyDescent="0.25"/>
  <cols>
    <col min="1" max="1" width="4.7109375" customWidth="1"/>
    <col min="2" max="2" width="3.85546875" customWidth="1"/>
    <col min="3" max="3" width="10.28515625" customWidth="1"/>
    <col min="4" max="4" width="10.7109375" customWidth="1"/>
    <col min="5" max="5" width="6" customWidth="1"/>
    <col min="6" max="6" width="11.42578125" customWidth="1"/>
    <col min="7" max="7" width="9.140625" style="45" customWidth="1"/>
    <col min="8" max="8" width="9.140625" customWidth="1"/>
    <col min="9" max="9" width="9.85546875" style="45" customWidth="1"/>
    <col min="10" max="10" width="5.140625" customWidth="1"/>
    <col min="11" max="11" width="9.85546875" customWidth="1"/>
    <col min="12" max="12" width="6.42578125" customWidth="1"/>
    <col min="13" max="14" width="9" hidden="1" customWidth="1"/>
    <col min="15" max="15" width="9.85546875" customWidth="1"/>
    <col min="16" max="16" width="11.42578125" customWidth="1"/>
    <col min="17" max="17" width="6.42578125" customWidth="1"/>
    <col min="18" max="19" width="9" hidden="1" customWidth="1"/>
    <col min="20" max="20" width="9.85546875" customWidth="1"/>
    <col min="21" max="21" width="11.42578125" customWidth="1"/>
    <col min="22" max="22" width="7.42578125" customWidth="1"/>
    <col min="23" max="23" width="10.140625" customWidth="1"/>
    <col min="24" max="27" width="9" customWidth="1"/>
    <col min="28" max="28" width="6.5703125" customWidth="1"/>
    <col min="29" max="32" width="9" customWidth="1"/>
    <col min="33" max="35" width="9.140625" customWidth="1"/>
    <col min="36" max="38" width="14.42578125" customWidth="1"/>
    <col min="39" max="39" width="10" customWidth="1"/>
    <col min="40" max="41" width="9" hidden="1" customWidth="1"/>
    <col min="42" max="42" width="12.42578125" customWidth="1"/>
    <col min="43" max="43" width="9.140625" customWidth="1"/>
    <col min="44" max="44" width="14.28515625" customWidth="1"/>
    <col min="45" max="47" width="9.140625" customWidth="1"/>
    <col min="48" max="48" width="10.28515625" customWidth="1"/>
    <col min="49" max="49" width="11.42578125" customWidth="1"/>
    <col min="50" max="50" width="14.85546875" customWidth="1"/>
  </cols>
  <sheetData>
    <row r="1" spans="1:50" ht="15.75" thickBot="1" x14ac:dyDescent="0.3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  <c r="Z1">
        <v>26</v>
      </c>
      <c r="AA1">
        <v>27</v>
      </c>
      <c r="AB1">
        <v>28</v>
      </c>
      <c r="AC1">
        <v>29</v>
      </c>
      <c r="AD1">
        <v>30</v>
      </c>
      <c r="AE1">
        <v>31</v>
      </c>
      <c r="AF1">
        <v>32</v>
      </c>
      <c r="AG1">
        <v>33</v>
      </c>
      <c r="AH1">
        <v>34</v>
      </c>
      <c r="AI1">
        <v>35</v>
      </c>
      <c r="AJ1">
        <v>36</v>
      </c>
      <c r="AK1">
        <v>37</v>
      </c>
      <c r="AL1">
        <v>38</v>
      </c>
      <c r="AM1">
        <v>39</v>
      </c>
      <c r="AN1">
        <v>40</v>
      </c>
      <c r="AO1">
        <v>41</v>
      </c>
      <c r="AP1">
        <v>42</v>
      </c>
      <c r="AQ1">
        <v>43</v>
      </c>
      <c r="AR1">
        <v>44</v>
      </c>
      <c r="AS1">
        <v>45</v>
      </c>
      <c r="AT1">
        <v>46</v>
      </c>
      <c r="AU1">
        <v>121212</v>
      </c>
      <c r="AV1">
        <v>48</v>
      </c>
      <c r="AW1">
        <v>49</v>
      </c>
      <c r="AX1">
        <v>50</v>
      </c>
    </row>
    <row r="2" spans="1:50" s="1" customFormat="1" ht="39" customHeight="1" thickTop="1" thickBot="1" x14ac:dyDescent="0.3">
      <c r="A2" s="141" t="s">
        <v>81</v>
      </c>
      <c r="B2" s="141"/>
      <c r="C2" s="141"/>
      <c r="D2" s="141"/>
      <c r="E2" s="141"/>
      <c r="F2" s="141"/>
      <c r="G2" s="141"/>
      <c r="H2" s="141"/>
      <c r="I2" s="142"/>
      <c r="J2" s="150" t="s">
        <v>16</v>
      </c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2"/>
      <c r="AB2" s="152"/>
      <c r="AC2" s="152"/>
      <c r="AD2" s="152"/>
      <c r="AE2" s="152"/>
      <c r="AF2" s="152"/>
      <c r="AG2" s="151"/>
      <c r="AH2" s="151"/>
      <c r="AI2" s="151"/>
      <c r="AJ2" s="153"/>
      <c r="AK2" s="107"/>
      <c r="AL2" s="107"/>
      <c r="AM2" s="152" t="s">
        <v>25</v>
      </c>
      <c r="AN2" s="152"/>
      <c r="AO2" s="152"/>
      <c r="AP2" s="152"/>
      <c r="AQ2" s="152"/>
      <c r="AR2" s="152"/>
      <c r="AS2" s="152"/>
      <c r="AT2" s="152"/>
      <c r="AU2" s="152"/>
      <c r="AV2" s="152"/>
      <c r="AW2" s="156"/>
      <c r="AX2" s="29" t="s">
        <v>40</v>
      </c>
    </row>
    <row r="3" spans="1:50" s="3" customFormat="1" ht="30.75" customHeight="1" thickBot="1" x14ac:dyDescent="0.3">
      <c r="A3" s="143" t="s">
        <v>8</v>
      </c>
      <c r="B3" s="143"/>
      <c r="C3" s="143"/>
      <c r="D3" s="143"/>
      <c r="E3" s="143"/>
      <c r="F3" s="143"/>
      <c r="G3" s="143"/>
      <c r="H3" s="144"/>
      <c r="I3" s="144"/>
      <c r="J3" s="145" t="s">
        <v>9</v>
      </c>
      <c r="K3" s="146"/>
      <c r="L3" s="147" t="s">
        <v>14</v>
      </c>
      <c r="M3" s="148"/>
      <c r="N3" s="148"/>
      <c r="O3" s="148"/>
      <c r="P3" s="149"/>
      <c r="Q3" s="147" t="s">
        <v>18</v>
      </c>
      <c r="R3" s="148"/>
      <c r="S3" s="148"/>
      <c r="T3" s="148"/>
      <c r="U3" s="149"/>
      <c r="V3" s="104" t="s">
        <v>77</v>
      </c>
      <c r="W3" s="104" t="s">
        <v>80</v>
      </c>
      <c r="X3" s="104" t="s">
        <v>79</v>
      </c>
      <c r="Y3" s="104" t="s">
        <v>84</v>
      </c>
      <c r="Z3" s="20" t="s">
        <v>78</v>
      </c>
      <c r="AA3" s="110"/>
      <c r="AB3" s="157" t="s">
        <v>85</v>
      </c>
      <c r="AC3" s="158"/>
      <c r="AD3" s="159"/>
      <c r="AE3" s="102" t="s">
        <v>82</v>
      </c>
      <c r="AF3" s="105" t="s">
        <v>70</v>
      </c>
      <c r="AG3" s="103" t="s">
        <v>71</v>
      </c>
      <c r="AH3" s="108" t="s">
        <v>93</v>
      </c>
      <c r="AI3" s="108"/>
      <c r="AJ3" s="21" t="s">
        <v>32</v>
      </c>
      <c r="AK3" s="117" t="s">
        <v>96</v>
      </c>
      <c r="AL3" s="113" t="s">
        <v>95</v>
      </c>
      <c r="AM3" s="160" t="s">
        <v>89</v>
      </c>
      <c r="AN3" s="161"/>
      <c r="AO3" s="161"/>
      <c r="AP3" s="161"/>
      <c r="AQ3" s="162"/>
      <c r="AR3" s="109" t="s">
        <v>73</v>
      </c>
      <c r="AS3" s="96" t="s">
        <v>75</v>
      </c>
      <c r="AT3" s="12" t="s">
        <v>35</v>
      </c>
      <c r="AU3" s="12" t="s">
        <v>59</v>
      </c>
      <c r="AV3" s="95" t="s">
        <v>60</v>
      </c>
      <c r="AW3" s="21" t="s">
        <v>39</v>
      </c>
      <c r="AX3" s="30"/>
    </row>
    <row r="4" spans="1:50" s="3" customFormat="1" ht="25.5" customHeight="1" x14ac:dyDescent="0.25">
      <c r="A4" s="4" t="s">
        <v>5</v>
      </c>
      <c r="B4" s="4" t="s">
        <v>1</v>
      </c>
      <c r="C4" s="4" t="s">
        <v>3</v>
      </c>
      <c r="D4" s="4" t="s">
        <v>2</v>
      </c>
      <c r="E4" s="4" t="s">
        <v>72</v>
      </c>
      <c r="F4" s="4" t="s">
        <v>90</v>
      </c>
      <c r="G4" s="4" t="s">
        <v>91</v>
      </c>
      <c r="H4" s="5" t="s">
        <v>65</v>
      </c>
      <c r="I4" s="5" t="s">
        <v>7</v>
      </c>
      <c r="J4" s="24" t="s">
        <v>10</v>
      </c>
      <c r="K4" s="121" t="s">
        <v>11</v>
      </c>
      <c r="L4" s="6" t="s">
        <v>15</v>
      </c>
      <c r="M4" s="8"/>
      <c r="N4" s="8"/>
      <c r="O4" s="4" t="s">
        <v>24</v>
      </c>
      <c r="P4" s="11" t="s">
        <v>11</v>
      </c>
      <c r="Q4" s="6" t="s">
        <v>83</v>
      </c>
      <c r="R4" s="8"/>
      <c r="S4" s="8"/>
      <c r="T4" s="4" t="s">
        <v>22</v>
      </c>
      <c r="U4" s="11" t="s">
        <v>11</v>
      </c>
      <c r="V4" s="121"/>
      <c r="W4" s="11" t="s">
        <v>11</v>
      </c>
      <c r="X4" s="62"/>
      <c r="Y4" s="122"/>
      <c r="Z4" s="123" t="s">
        <v>11</v>
      </c>
      <c r="AA4" s="124" t="s">
        <v>92</v>
      </c>
      <c r="AB4" s="5" t="s">
        <v>86</v>
      </c>
      <c r="AC4" s="5" t="s">
        <v>54</v>
      </c>
      <c r="AD4" s="61" t="s">
        <v>11</v>
      </c>
      <c r="AE4" s="61"/>
      <c r="AF4" s="63" t="s">
        <v>11</v>
      </c>
      <c r="AG4" s="62" t="s">
        <v>11</v>
      </c>
      <c r="AH4" s="97" t="s">
        <v>11</v>
      </c>
      <c r="AI4" s="125" t="s">
        <v>94</v>
      </c>
      <c r="AJ4" s="22" t="s">
        <v>11</v>
      </c>
      <c r="AK4" s="118"/>
      <c r="AL4" s="114"/>
      <c r="AM4" s="27" t="s">
        <v>27</v>
      </c>
      <c r="AN4" s="8"/>
      <c r="AO4" s="8"/>
      <c r="AP4" s="9" t="s">
        <v>28</v>
      </c>
      <c r="AQ4" s="10" t="s">
        <v>11</v>
      </c>
      <c r="AR4" s="11" t="s">
        <v>11</v>
      </c>
      <c r="AS4" s="82"/>
      <c r="AT4" s="13" t="s">
        <v>11</v>
      </c>
      <c r="AU4" s="13" t="s">
        <v>11</v>
      </c>
      <c r="AV4" s="13" t="s">
        <v>11</v>
      </c>
      <c r="AW4" s="22" t="s">
        <v>11</v>
      </c>
      <c r="AX4" s="31" t="s">
        <v>11</v>
      </c>
    </row>
    <row r="5" spans="1:50" s="3" customFormat="1" ht="35.25" customHeight="1" thickBot="1" x14ac:dyDescent="0.3">
      <c r="A5" s="2">
        <v>1</v>
      </c>
      <c r="B5" s="2">
        <v>1</v>
      </c>
      <c r="C5" s="2" t="s">
        <v>88</v>
      </c>
      <c r="D5" s="2" t="s">
        <v>88</v>
      </c>
      <c r="E5" s="2">
        <v>1</v>
      </c>
      <c r="F5" s="2"/>
      <c r="G5" s="53"/>
      <c r="H5" s="7"/>
      <c r="I5" s="84">
        <v>2388728</v>
      </c>
      <c r="J5" s="25">
        <v>31</v>
      </c>
      <c r="K5" s="16">
        <f t="shared" ref="K5:K17" si="0">J5*I5</f>
        <v>74050568</v>
      </c>
      <c r="L5" s="28"/>
      <c r="M5" s="14">
        <v>4.1666666666666664E-2</v>
      </c>
      <c r="N5" s="14">
        <f t="shared" ref="N5:N17" si="1">L5/M5</f>
        <v>0</v>
      </c>
      <c r="O5" s="15">
        <f ca="1">(AI5/7.33333333)*140%</f>
        <v>456029.8911163772</v>
      </c>
      <c r="P5" s="16">
        <f t="shared" ref="P5:P17" ca="1" si="2">N5*O5</f>
        <v>0</v>
      </c>
      <c r="Q5" s="25"/>
      <c r="R5" s="14">
        <v>4.1666666666666664E-2</v>
      </c>
      <c r="S5" s="14">
        <f t="shared" ref="S5:S17" si="3">Q5/R5</f>
        <v>0</v>
      </c>
      <c r="T5" s="15">
        <f ca="1">AI5</f>
        <v>2388728</v>
      </c>
      <c r="U5" s="16">
        <f ca="1">Q5*T5</f>
        <v>0</v>
      </c>
      <c r="V5" s="39"/>
      <c r="W5" s="39"/>
      <c r="X5" s="39"/>
      <c r="Y5" s="39"/>
      <c r="Z5" s="35"/>
      <c r="AA5" s="64">
        <f ca="1">SUMIF('جدول پایه سنوات'!A$1:B$15,G$5:G$17,'جدول پایه سنوات'!B$1:B$15)*J5</f>
        <v>0</v>
      </c>
      <c r="AB5" s="64"/>
      <c r="AC5" s="64">
        <f t="shared" ref="AC5:AC17" si="4">I5*3</f>
        <v>7166184</v>
      </c>
      <c r="AD5" s="64">
        <f>AC5*AB5</f>
        <v>0</v>
      </c>
      <c r="AE5" s="64">
        <f>IF(F5=2,5000000,0)</f>
        <v>0</v>
      </c>
      <c r="AF5" s="15">
        <v>9000000</v>
      </c>
      <c r="AG5" s="52">
        <v>14000000</v>
      </c>
      <c r="AH5" s="52"/>
      <c r="AI5" s="52">
        <f ca="1">(AH5/J5)+
(AA5/J5)+
(Z5/J5)+
(Y5/J5)+
(V5/J5)+(I5)</f>
        <v>2388728</v>
      </c>
      <c r="AJ5" s="23">
        <f ca="1">AH5+AG5+AF5+AE5+AD5+AA5+Z5+Y5+X5+W5+V5+U5+P5+K5</f>
        <v>97050568</v>
      </c>
      <c r="AK5" s="119">
        <f ca="1">AJ5-(AD5+X5+AQ5)</f>
        <v>97050568</v>
      </c>
      <c r="AL5" s="115">
        <f ca="1">AJ5-(X5+U5+AR5/7*2)</f>
        <v>95109556.640000001</v>
      </c>
      <c r="AM5" s="85"/>
      <c r="AN5" s="14">
        <v>4.1666666666666664E-2</v>
      </c>
      <c r="AO5" s="14">
        <f t="shared" ref="AO5:AO17" si="5">AM5/AN5</f>
        <v>0</v>
      </c>
      <c r="AP5" s="15">
        <f ca="1">(AI5/7.33333)</f>
        <v>325735.78442535654</v>
      </c>
      <c r="AQ5" s="16">
        <f t="shared" ref="AQ5:AQ17" ca="1" si="6">AO5*AP5</f>
        <v>0</v>
      </c>
      <c r="AR5" s="16">
        <f ca="1">AK5*7%</f>
        <v>6793539.7600000007</v>
      </c>
      <c r="AS5" s="52">
        <f ca="1">IF(AL5&lt;=120000000,0,
IF(AL5&lt;=165000000,(AL5-120000000)*10%,
IF(AL5&lt;=270000000,(AL5-165000000)*15%+4500000,
IF(AL5&lt;=400000000,(AL5-270000000)*20%+20250000,
IF(AL5&gt;400000000,(AL5-400000000)*30%+46250000)))))</f>
        <v>0</v>
      </c>
      <c r="AT5" s="16"/>
      <c r="AU5" s="16"/>
      <c r="AV5" s="52"/>
      <c r="AW5" s="23">
        <f ca="1">AQ5+AR5+AS5+AT5+AU5+AV5</f>
        <v>6793539.7600000007</v>
      </c>
      <c r="AX5" s="40">
        <f ca="1">AJ5-AW5</f>
        <v>90257028.239999995</v>
      </c>
    </row>
    <row r="6" spans="1:50" s="3" customFormat="1" ht="35.25" customHeight="1" thickTop="1" thickBot="1" x14ac:dyDescent="0.3">
      <c r="A6" s="2">
        <v>2</v>
      </c>
      <c r="B6" s="2">
        <v>2</v>
      </c>
      <c r="C6" s="2" t="s">
        <v>88</v>
      </c>
      <c r="D6" s="2" t="s">
        <v>88</v>
      </c>
      <c r="E6" s="2">
        <v>1</v>
      </c>
      <c r="F6" s="2"/>
      <c r="G6" s="53"/>
      <c r="H6" s="7"/>
      <c r="I6" s="84">
        <v>2388728</v>
      </c>
      <c r="J6" s="25">
        <v>31</v>
      </c>
      <c r="K6" s="16">
        <f t="shared" si="0"/>
        <v>74050568</v>
      </c>
      <c r="L6" s="28"/>
      <c r="M6" s="14">
        <v>4.1666666666666664E-2</v>
      </c>
      <c r="N6" s="14">
        <f>L6/M6</f>
        <v>0</v>
      </c>
      <c r="O6" s="15">
        <f t="shared" ref="O6:O17" ca="1" si="7">(AI6/7.33333333)*140%</f>
        <v>456029.8911163772</v>
      </c>
      <c r="P6" s="16">
        <f t="shared" ca="1" si="2"/>
        <v>0</v>
      </c>
      <c r="Q6" s="25"/>
      <c r="R6" s="14">
        <v>4.1666666666666664E-2</v>
      </c>
      <c r="S6" s="14">
        <f t="shared" si="3"/>
        <v>0</v>
      </c>
      <c r="T6" s="15">
        <f t="shared" ref="T6:T17" ca="1" si="8">AI6</f>
        <v>2388728</v>
      </c>
      <c r="U6" s="16">
        <f t="shared" ref="U6:U16" ca="1" si="9">Q6*T6</f>
        <v>0</v>
      </c>
      <c r="V6" s="39"/>
      <c r="W6" s="39"/>
      <c r="X6" s="39"/>
      <c r="Y6" s="39"/>
      <c r="Z6" s="35"/>
      <c r="AA6" s="64">
        <f ca="1">SUMIF('جدول پایه سنوات'!A$1:B$15,G$5:G$17,'جدول پایه سنوات'!B$1:B$15)*J6</f>
        <v>0</v>
      </c>
      <c r="AB6" s="64"/>
      <c r="AC6" s="64">
        <f t="shared" si="4"/>
        <v>7166184</v>
      </c>
      <c r="AD6" s="64">
        <f t="shared" ref="AD6:AD17" si="10">AC6*AB6</f>
        <v>0</v>
      </c>
      <c r="AE6" s="64"/>
      <c r="AF6" s="15">
        <v>9000000</v>
      </c>
      <c r="AG6" s="52">
        <v>14000000</v>
      </c>
      <c r="AH6" s="52"/>
      <c r="AI6" s="52">
        <f t="shared" ref="AI6:AI17" ca="1" si="11">(AH6/J6)+
(AA6/J6)+
(Z6/J6)+
(Y6/J6)+
(V6/J6)+(I6)</f>
        <v>2388728</v>
      </c>
      <c r="AJ6" s="23">
        <f t="shared" ref="AJ6:AJ17" ca="1" si="12">AH6+AG6+AF6+AE6+AD6+AA6+Z6+Y6+X6+W6+V6+U6+P6+K6</f>
        <v>97050568</v>
      </c>
      <c r="AK6" s="119">
        <f t="shared" ref="AK6:AK17" ca="1" si="13">AJ6-(AD6+X6+AQ6)</f>
        <v>97050568</v>
      </c>
      <c r="AL6" s="115">
        <f t="shared" ref="AL6:AL17" ca="1" si="14">AJ6-(X6+U6+AR6/7*2)</f>
        <v>95109556.640000001</v>
      </c>
      <c r="AM6" s="26"/>
      <c r="AN6" s="14">
        <v>4.1666666666666664E-2</v>
      </c>
      <c r="AO6" s="14">
        <f t="shared" si="5"/>
        <v>0</v>
      </c>
      <c r="AP6" s="15">
        <f t="shared" ref="AP6:AP17" ca="1" si="15">(AI6/7.33333)</f>
        <v>325735.78442535654</v>
      </c>
      <c r="AQ6" s="16">
        <f t="shared" ca="1" si="6"/>
        <v>0</v>
      </c>
      <c r="AR6" s="16">
        <f t="shared" ref="AR6:AR17" ca="1" si="16">AK6*7%</f>
        <v>6793539.7600000007</v>
      </c>
      <c r="AS6" s="52">
        <f t="shared" ref="AS6:AS17" ca="1" si="17">IF(AL6&lt;=120000000,0,
IF(AL6&lt;=165000000,(AL6-120000000)*10%,
IF(AL6&lt;=270000000,(AL6-165000000)*15%+4500000,
IF(AL6&lt;=400000000,(AL6-270000000)*20%+20250000,
IF(AL6&gt;400000000,(AL6-400000000)*30%+46250000)))))</f>
        <v>0</v>
      </c>
      <c r="AT6" s="16"/>
      <c r="AU6" s="16"/>
      <c r="AV6" s="52"/>
      <c r="AW6" s="23">
        <f t="shared" ref="AW6:AW17" ca="1" si="18">AQ6+AR6+AS6+AT6+AU6+AV6</f>
        <v>6793539.7600000007</v>
      </c>
      <c r="AX6" s="40">
        <f t="shared" ref="AX6:AX17" ca="1" si="19">AJ6-AW6</f>
        <v>90257028.239999995</v>
      </c>
    </row>
    <row r="7" spans="1:50" s="94" customFormat="1" ht="35.25" customHeight="1" thickTop="1" thickBot="1" x14ac:dyDescent="0.3">
      <c r="A7" s="2">
        <v>3</v>
      </c>
      <c r="B7" s="2">
        <v>3</v>
      </c>
      <c r="C7" s="2" t="s">
        <v>88</v>
      </c>
      <c r="D7" s="2" t="s">
        <v>88</v>
      </c>
      <c r="E7" s="63">
        <v>1</v>
      </c>
      <c r="F7" s="63"/>
      <c r="G7" s="86"/>
      <c r="H7" s="61"/>
      <c r="I7" s="84">
        <v>2388728</v>
      </c>
      <c r="J7" s="25">
        <v>31</v>
      </c>
      <c r="K7" s="87">
        <f t="shared" si="0"/>
        <v>74050568</v>
      </c>
      <c r="L7" s="88"/>
      <c r="M7" s="89">
        <v>4.1666666666666664E-2</v>
      </c>
      <c r="N7" s="89">
        <f t="shared" si="1"/>
        <v>0</v>
      </c>
      <c r="O7" s="15">
        <f t="shared" ca="1" si="7"/>
        <v>456029.8911163772</v>
      </c>
      <c r="P7" s="87">
        <f t="shared" ca="1" si="2"/>
        <v>0</v>
      </c>
      <c r="Q7" s="25"/>
      <c r="R7" s="89">
        <v>4.1666666666666664E-2</v>
      </c>
      <c r="S7" s="89">
        <f t="shared" si="3"/>
        <v>0</v>
      </c>
      <c r="T7" s="15">
        <f t="shared" ca="1" si="8"/>
        <v>2388728</v>
      </c>
      <c r="U7" s="16">
        <f t="shared" ca="1" si="9"/>
        <v>0</v>
      </c>
      <c r="V7" s="90"/>
      <c r="W7" s="90"/>
      <c r="X7" s="90"/>
      <c r="Y7" s="90"/>
      <c r="Z7" s="91"/>
      <c r="AA7" s="64">
        <f ca="1">SUMIF('جدول پایه سنوات'!A$1:B$15,G$5:G$17,'جدول پایه سنوات'!B$1:B$15)*J7</f>
        <v>0</v>
      </c>
      <c r="AB7" s="92"/>
      <c r="AC7" s="64">
        <f t="shared" si="4"/>
        <v>7166184</v>
      </c>
      <c r="AD7" s="64">
        <f t="shared" si="10"/>
        <v>0</v>
      </c>
      <c r="AE7" s="64"/>
      <c r="AF7" s="15">
        <v>9000000</v>
      </c>
      <c r="AG7" s="52">
        <v>14000000</v>
      </c>
      <c r="AH7" s="52"/>
      <c r="AI7" s="52">
        <f t="shared" ca="1" si="11"/>
        <v>2388728</v>
      </c>
      <c r="AJ7" s="23">
        <f t="shared" ca="1" si="12"/>
        <v>97050568</v>
      </c>
      <c r="AK7" s="119">
        <f t="shared" ca="1" si="13"/>
        <v>97050568</v>
      </c>
      <c r="AL7" s="115">
        <f t="shared" ca="1" si="14"/>
        <v>95109556.640000001</v>
      </c>
      <c r="AM7" s="93"/>
      <c r="AN7" s="89">
        <v>4.1666666666666664E-2</v>
      </c>
      <c r="AO7" s="89">
        <f t="shared" si="5"/>
        <v>0</v>
      </c>
      <c r="AP7" s="15">
        <f t="shared" ca="1" si="15"/>
        <v>325735.78442535654</v>
      </c>
      <c r="AQ7" s="87">
        <f t="shared" ca="1" si="6"/>
        <v>0</v>
      </c>
      <c r="AR7" s="16">
        <f t="shared" ca="1" si="16"/>
        <v>6793539.7600000007</v>
      </c>
      <c r="AS7" s="52">
        <f t="shared" ca="1" si="17"/>
        <v>0</v>
      </c>
      <c r="AT7" s="87"/>
      <c r="AU7" s="87"/>
      <c r="AV7" s="52"/>
      <c r="AW7" s="23">
        <f t="shared" ca="1" si="18"/>
        <v>6793539.7600000007</v>
      </c>
      <c r="AX7" s="40">
        <f t="shared" ca="1" si="19"/>
        <v>90257028.239999995</v>
      </c>
    </row>
    <row r="8" spans="1:50" s="3" customFormat="1" ht="35.25" customHeight="1" thickTop="1" thickBot="1" x14ac:dyDescent="0.3">
      <c r="A8" s="2">
        <v>4</v>
      </c>
      <c r="B8" s="2">
        <v>4</v>
      </c>
      <c r="C8" s="2" t="s">
        <v>88</v>
      </c>
      <c r="D8" s="2" t="s">
        <v>88</v>
      </c>
      <c r="E8" s="2">
        <v>1</v>
      </c>
      <c r="F8" s="2"/>
      <c r="G8" s="53"/>
      <c r="H8" s="7"/>
      <c r="I8" s="84">
        <v>2388728</v>
      </c>
      <c r="J8" s="25">
        <v>31</v>
      </c>
      <c r="K8" s="16">
        <f t="shared" si="0"/>
        <v>74050568</v>
      </c>
      <c r="L8" s="28"/>
      <c r="M8" s="14">
        <v>4.1666666666666664E-2</v>
      </c>
      <c r="N8" s="14">
        <f t="shared" si="1"/>
        <v>0</v>
      </c>
      <c r="O8" s="15">
        <f t="shared" ca="1" si="7"/>
        <v>456029.8911163772</v>
      </c>
      <c r="P8" s="16">
        <f t="shared" ca="1" si="2"/>
        <v>0</v>
      </c>
      <c r="Q8" s="25"/>
      <c r="R8" s="14">
        <v>4.1666666666666664E-2</v>
      </c>
      <c r="S8" s="14">
        <f t="shared" si="3"/>
        <v>0</v>
      </c>
      <c r="T8" s="15">
        <f t="shared" ca="1" si="8"/>
        <v>2388728</v>
      </c>
      <c r="U8" s="16">
        <f t="shared" ca="1" si="9"/>
        <v>0</v>
      </c>
      <c r="V8" s="39"/>
      <c r="W8" s="39"/>
      <c r="X8" s="39"/>
      <c r="Y8" s="39"/>
      <c r="Z8" s="35"/>
      <c r="AA8" s="64">
        <f ca="1">SUMIF('جدول پایه سنوات'!A$1:B$15,G$5:G$17,'جدول پایه سنوات'!B$1:B$15)*J8</f>
        <v>0</v>
      </c>
      <c r="AB8" s="64"/>
      <c r="AC8" s="64">
        <f t="shared" si="4"/>
        <v>7166184</v>
      </c>
      <c r="AD8" s="64">
        <f t="shared" si="10"/>
        <v>0</v>
      </c>
      <c r="AE8" s="64"/>
      <c r="AF8" s="15">
        <v>9000000</v>
      </c>
      <c r="AG8" s="52">
        <v>14000000</v>
      </c>
      <c r="AH8" s="52"/>
      <c r="AI8" s="52">
        <f t="shared" ca="1" si="11"/>
        <v>2388728</v>
      </c>
      <c r="AJ8" s="23">
        <f t="shared" ca="1" si="12"/>
        <v>97050568</v>
      </c>
      <c r="AK8" s="119">
        <f t="shared" ca="1" si="13"/>
        <v>97050568</v>
      </c>
      <c r="AL8" s="115">
        <f t="shared" ca="1" si="14"/>
        <v>95109556.640000001</v>
      </c>
      <c r="AM8" s="26"/>
      <c r="AN8" s="14">
        <v>4.1666666666666664E-2</v>
      </c>
      <c r="AO8" s="14">
        <f t="shared" si="5"/>
        <v>0</v>
      </c>
      <c r="AP8" s="15">
        <f t="shared" ca="1" si="15"/>
        <v>325735.78442535654</v>
      </c>
      <c r="AQ8" s="16">
        <f t="shared" ca="1" si="6"/>
        <v>0</v>
      </c>
      <c r="AR8" s="16">
        <f t="shared" ca="1" si="16"/>
        <v>6793539.7600000007</v>
      </c>
      <c r="AS8" s="52">
        <f t="shared" ca="1" si="17"/>
        <v>0</v>
      </c>
      <c r="AT8" s="16"/>
      <c r="AU8" s="16"/>
      <c r="AV8" s="52"/>
      <c r="AW8" s="23">
        <f t="shared" ca="1" si="18"/>
        <v>6793539.7600000007</v>
      </c>
      <c r="AX8" s="40">
        <f t="shared" ca="1" si="19"/>
        <v>90257028.239999995</v>
      </c>
    </row>
    <row r="9" spans="1:50" s="3" customFormat="1" ht="35.25" customHeight="1" thickTop="1" thickBot="1" x14ac:dyDescent="0.3">
      <c r="A9" s="2">
        <v>5</v>
      </c>
      <c r="B9" s="2">
        <v>5</v>
      </c>
      <c r="C9" s="2" t="s">
        <v>88</v>
      </c>
      <c r="D9" s="2" t="s">
        <v>88</v>
      </c>
      <c r="E9" s="2">
        <v>1</v>
      </c>
      <c r="F9" s="2"/>
      <c r="G9" s="53"/>
      <c r="H9" s="7"/>
      <c r="I9" s="84">
        <v>2388728</v>
      </c>
      <c r="J9" s="25">
        <v>31</v>
      </c>
      <c r="K9" s="16">
        <f t="shared" si="0"/>
        <v>74050568</v>
      </c>
      <c r="L9" s="28"/>
      <c r="M9" s="14">
        <v>4.1666666666666664E-2</v>
      </c>
      <c r="N9" s="14">
        <f t="shared" si="1"/>
        <v>0</v>
      </c>
      <c r="O9" s="15">
        <f t="shared" ca="1" si="7"/>
        <v>456029.8911163772</v>
      </c>
      <c r="P9" s="16">
        <f t="shared" ca="1" si="2"/>
        <v>0</v>
      </c>
      <c r="Q9" s="25"/>
      <c r="R9" s="14">
        <v>4.1666666666666664E-2</v>
      </c>
      <c r="S9" s="14">
        <f t="shared" si="3"/>
        <v>0</v>
      </c>
      <c r="T9" s="15">
        <f t="shared" ca="1" si="8"/>
        <v>2388728</v>
      </c>
      <c r="U9" s="16">
        <f t="shared" ca="1" si="9"/>
        <v>0</v>
      </c>
      <c r="V9" s="39"/>
      <c r="W9" s="39"/>
      <c r="X9" s="39"/>
      <c r="Y9" s="39"/>
      <c r="Z9" s="35"/>
      <c r="AA9" s="64">
        <f ca="1">SUMIF('جدول پایه سنوات'!A$1:B$15,G$5:G$17,'جدول پایه سنوات'!B$1:B$15)*J9</f>
        <v>0</v>
      </c>
      <c r="AB9" s="64"/>
      <c r="AC9" s="64">
        <f t="shared" si="4"/>
        <v>7166184</v>
      </c>
      <c r="AD9" s="64">
        <f t="shared" si="10"/>
        <v>0</v>
      </c>
      <c r="AE9" s="64"/>
      <c r="AF9" s="15">
        <v>9000000</v>
      </c>
      <c r="AG9" s="52">
        <v>14000000</v>
      </c>
      <c r="AH9" s="52"/>
      <c r="AI9" s="52">
        <f t="shared" ca="1" si="11"/>
        <v>2388728</v>
      </c>
      <c r="AJ9" s="23">
        <f t="shared" ca="1" si="12"/>
        <v>97050568</v>
      </c>
      <c r="AK9" s="119">
        <f t="shared" ca="1" si="13"/>
        <v>97050568</v>
      </c>
      <c r="AL9" s="115">
        <f t="shared" ca="1" si="14"/>
        <v>95109556.640000001</v>
      </c>
      <c r="AM9" s="26"/>
      <c r="AN9" s="14">
        <v>4.1666666666666664E-2</v>
      </c>
      <c r="AO9" s="14">
        <f t="shared" si="5"/>
        <v>0</v>
      </c>
      <c r="AP9" s="15">
        <f t="shared" ca="1" si="15"/>
        <v>325735.78442535654</v>
      </c>
      <c r="AQ9" s="16">
        <f t="shared" ca="1" si="6"/>
        <v>0</v>
      </c>
      <c r="AR9" s="16">
        <f t="shared" ca="1" si="16"/>
        <v>6793539.7600000007</v>
      </c>
      <c r="AS9" s="52">
        <f t="shared" ca="1" si="17"/>
        <v>0</v>
      </c>
      <c r="AT9" s="16"/>
      <c r="AU9" s="16"/>
      <c r="AV9" s="52"/>
      <c r="AW9" s="23">
        <f t="shared" ca="1" si="18"/>
        <v>6793539.7600000007</v>
      </c>
      <c r="AX9" s="40">
        <f t="shared" ca="1" si="19"/>
        <v>90257028.239999995</v>
      </c>
    </row>
    <row r="10" spans="1:50" s="3" customFormat="1" ht="35.25" customHeight="1" thickTop="1" thickBot="1" x14ac:dyDescent="0.3">
      <c r="A10" s="2">
        <v>6</v>
      </c>
      <c r="B10" s="2">
        <v>6</v>
      </c>
      <c r="C10" s="2" t="s">
        <v>88</v>
      </c>
      <c r="D10" s="2" t="s">
        <v>88</v>
      </c>
      <c r="E10" s="2">
        <v>1</v>
      </c>
      <c r="F10" s="2"/>
      <c r="G10" s="53"/>
      <c r="H10" s="7"/>
      <c r="I10" s="84">
        <v>2388728</v>
      </c>
      <c r="J10" s="25">
        <v>31</v>
      </c>
      <c r="K10" s="16">
        <f t="shared" si="0"/>
        <v>74050568</v>
      </c>
      <c r="L10" s="28"/>
      <c r="M10" s="14">
        <v>4.1666666666666664E-2</v>
      </c>
      <c r="N10" s="14">
        <f t="shared" si="1"/>
        <v>0</v>
      </c>
      <c r="O10" s="15">
        <f t="shared" ca="1" si="7"/>
        <v>456029.8911163772</v>
      </c>
      <c r="P10" s="16">
        <f t="shared" ca="1" si="2"/>
        <v>0</v>
      </c>
      <c r="Q10" s="25"/>
      <c r="R10" s="14">
        <v>4.1666666666666664E-2</v>
      </c>
      <c r="S10" s="14">
        <f t="shared" si="3"/>
        <v>0</v>
      </c>
      <c r="T10" s="15">
        <f t="shared" ca="1" si="8"/>
        <v>2388728</v>
      </c>
      <c r="U10" s="16">
        <f t="shared" ca="1" si="9"/>
        <v>0</v>
      </c>
      <c r="V10" s="39"/>
      <c r="W10" s="39"/>
      <c r="X10" s="39"/>
      <c r="Y10" s="39"/>
      <c r="Z10" s="35"/>
      <c r="AA10" s="64">
        <f ca="1">SUMIF('جدول پایه سنوات'!A$1:B$15,G$5:G$17,'جدول پایه سنوات'!B$1:B$15)*J10</f>
        <v>0</v>
      </c>
      <c r="AB10" s="64"/>
      <c r="AC10" s="64">
        <f t="shared" si="4"/>
        <v>7166184</v>
      </c>
      <c r="AD10" s="64">
        <f t="shared" si="10"/>
        <v>0</v>
      </c>
      <c r="AE10" s="64"/>
      <c r="AF10" s="15">
        <v>9000000</v>
      </c>
      <c r="AG10" s="52">
        <v>14000000</v>
      </c>
      <c r="AH10" s="52"/>
      <c r="AI10" s="52">
        <f t="shared" ca="1" si="11"/>
        <v>2388728</v>
      </c>
      <c r="AJ10" s="23">
        <f t="shared" ca="1" si="12"/>
        <v>97050568</v>
      </c>
      <c r="AK10" s="119">
        <f t="shared" ca="1" si="13"/>
        <v>97050568</v>
      </c>
      <c r="AL10" s="115">
        <f t="shared" ca="1" si="14"/>
        <v>95109556.640000001</v>
      </c>
      <c r="AM10" s="26"/>
      <c r="AN10" s="14">
        <v>4.1666666666666664E-2</v>
      </c>
      <c r="AO10" s="14">
        <f t="shared" si="5"/>
        <v>0</v>
      </c>
      <c r="AP10" s="15">
        <f t="shared" ca="1" si="15"/>
        <v>325735.78442535654</v>
      </c>
      <c r="AQ10" s="16">
        <f t="shared" ca="1" si="6"/>
        <v>0</v>
      </c>
      <c r="AR10" s="16">
        <f t="shared" ca="1" si="16"/>
        <v>6793539.7600000007</v>
      </c>
      <c r="AS10" s="52">
        <f t="shared" ca="1" si="17"/>
        <v>0</v>
      </c>
      <c r="AT10" s="16"/>
      <c r="AU10" s="16"/>
      <c r="AV10" s="52"/>
      <c r="AW10" s="23">
        <f t="shared" ca="1" si="18"/>
        <v>6793539.7600000007</v>
      </c>
      <c r="AX10" s="40">
        <f t="shared" ca="1" si="19"/>
        <v>90257028.239999995</v>
      </c>
    </row>
    <row r="11" spans="1:50" s="3" customFormat="1" ht="35.25" customHeight="1" thickTop="1" thickBot="1" x14ac:dyDescent="0.3">
      <c r="A11" s="2">
        <v>7</v>
      </c>
      <c r="B11" s="2">
        <v>7</v>
      </c>
      <c r="C11" s="2" t="s">
        <v>88</v>
      </c>
      <c r="D11" s="2" t="s">
        <v>88</v>
      </c>
      <c r="E11" s="2">
        <v>1</v>
      </c>
      <c r="F11" s="2"/>
      <c r="G11" s="53"/>
      <c r="H11" s="7"/>
      <c r="I11" s="84">
        <v>2388728</v>
      </c>
      <c r="J11" s="25">
        <v>31</v>
      </c>
      <c r="K11" s="16">
        <f t="shared" si="0"/>
        <v>74050568</v>
      </c>
      <c r="L11" s="28"/>
      <c r="M11" s="14">
        <v>4.1666666666666664E-2</v>
      </c>
      <c r="N11" s="14">
        <f t="shared" si="1"/>
        <v>0</v>
      </c>
      <c r="O11" s="15">
        <f t="shared" ca="1" si="7"/>
        <v>456029.8911163772</v>
      </c>
      <c r="P11" s="16">
        <f t="shared" ca="1" si="2"/>
        <v>0</v>
      </c>
      <c r="Q11" s="25"/>
      <c r="R11" s="14">
        <v>4.1666666666666664E-2</v>
      </c>
      <c r="S11" s="14">
        <f t="shared" si="3"/>
        <v>0</v>
      </c>
      <c r="T11" s="15">
        <f t="shared" ca="1" si="8"/>
        <v>2388728</v>
      </c>
      <c r="U11" s="16">
        <f t="shared" ca="1" si="9"/>
        <v>0</v>
      </c>
      <c r="V11" s="39"/>
      <c r="W11" s="39"/>
      <c r="X11" s="39"/>
      <c r="Y11" s="39"/>
      <c r="Z11" s="35"/>
      <c r="AA11" s="64">
        <f ca="1">SUMIF('جدول پایه سنوات'!A$1:B$15,G$5:G$17,'جدول پایه سنوات'!B$1:B$15)*J11</f>
        <v>0</v>
      </c>
      <c r="AB11" s="64"/>
      <c r="AC11" s="64">
        <f t="shared" si="4"/>
        <v>7166184</v>
      </c>
      <c r="AD11" s="64">
        <f t="shared" si="10"/>
        <v>0</v>
      </c>
      <c r="AE11" s="64"/>
      <c r="AF11" s="15">
        <v>9000000</v>
      </c>
      <c r="AG11" s="52">
        <v>14000000</v>
      </c>
      <c r="AH11" s="52"/>
      <c r="AI11" s="52">
        <f t="shared" ca="1" si="11"/>
        <v>2388728</v>
      </c>
      <c r="AJ11" s="23">
        <f t="shared" ca="1" si="12"/>
        <v>97050568</v>
      </c>
      <c r="AK11" s="119">
        <f t="shared" ca="1" si="13"/>
        <v>97050568</v>
      </c>
      <c r="AL11" s="115">
        <f t="shared" ca="1" si="14"/>
        <v>95109556.640000001</v>
      </c>
      <c r="AM11" s="26"/>
      <c r="AN11" s="14">
        <v>4.1666666666666664E-2</v>
      </c>
      <c r="AO11" s="14">
        <f t="shared" si="5"/>
        <v>0</v>
      </c>
      <c r="AP11" s="15">
        <f t="shared" ca="1" si="15"/>
        <v>325735.78442535654</v>
      </c>
      <c r="AQ11" s="16">
        <f t="shared" ca="1" si="6"/>
        <v>0</v>
      </c>
      <c r="AR11" s="16">
        <f t="shared" ca="1" si="16"/>
        <v>6793539.7600000007</v>
      </c>
      <c r="AS11" s="52">
        <f t="shared" ca="1" si="17"/>
        <v>0</v>
      </c>
      <c r="AT11" s="16"/>
      <c r="AU11" s="16"/>
      <c r="AV11" s="52"/>
      <c r="AW11" s="23">
        <f t="shared" ca="1" si="18"/>
        <v>6793539.7600000007</v>
      </c>
      <c r="AX11" s="40">
        <f t="shared" ca="1" si="19"/>
        <v>90257028.239999995</v>
      </c>
    </row>
    <row r="12" spans="1:50" s="3" customFormat="1" ht="35.25" customHeight="1" thickTop="1" thickBot="1" x14ac:dyDescent="0.3">
      <c r="A12" s="2">
        <v>8</v>
      </c>
      <c r="B12" s="2">
        <v>8</v>
      </c>
      <c r="C12" s="2" t="s">
        <v>88</v>
      </c>
      <c r="D12" s="2" t="s">
        <v>88</v>
      </c>
      <c r="E12" s="2">
        <v>1</v>
      </c>
      <c r="F12" s="2"/>
      <c r="G12" s="53"/>
      <c r="H12" s="7"/>
      <c r="I12" s="84">
        <v>2388728</v>
      </c>
      <c r="J12" s="25">
        <v>31</v>
      </c>
      <c r="K12" s="16">
        <f t="shared" si="0"/>
        <v>74050568</v>
      </c>
      <c r="L12" s="28"/>
      <c r="M12" s="14">
        <v>4.1666666666666664E-2</v>
      </c>
      <c r="N12" s="14">
        <f t="shared" si="1"/>
        <v>0</v>
      </c>
      <c r="O12" s="15">
        <f t="shared" ca="1" si="7"/>
        <v>456029.8911163772</v>
      </c>
      <c r="P12" s="16">
        <f t="shared" ca="1" si="2"/>
        <v>0</v>
      </c>
      <c r="Q12" s="25"/>
      <c r="R12" s="14">
        <v>4.1666666666666664E-2</v>
      </c>
      <c r="S12" s="14">
        <f t="shared" si="3"/>
        <v>0</v>
      </c>
      <c r="T12" s="15">
        <f t="shared" ca="1" si="8"/>
        <v>2388728</v>
      </c>
      <c r="U12" s="16">
        <f t="shared" ca="1" si="9"/>
        <v>0</v>
      </c>
      <c r="V12" s="39"/>
      <c r="W12" s="39"/>
      <c r="X12" s="39"/>
      <c r="Y12" s="39"/>
      <c r="Z12" s="35"/>
      <c r="AA12" s="64">
        <f ca="1">SUMIF('جدول پایه سنوات'!A$1:B$15,G$5:G$17,'جدول پایه سنوات'!B$1:B$15)*J12</f>
        <v>0</v>
      </c>
      <c r="AB12" s="64"/>
      <c r="AC12" s="64">
        <f t="shared" si="4"/>
        <v>7166184</v>
      </c>
      <c r="AD12" s="64">
        <f t="shared" si="10"/>
        <v>0</v>
      </c>
      <c r="AE12" s="64"/>
      <c r="AF12" s="15">
        <v>9000000</v>
      </c>
      <c r="AG12" s="52">
        <v>14000000</v>
      </c>
      <c r="AH12" s="52"/>
      <c r="AI12" s="52">
        <f t="shared" ca="1" si="11"/>
        <v>2388728</v>
      </c>
      <c r="AJ12" s="23">
        <f t="shared" ca="1" si="12"/>
        <v>97050568</v>
      </c>
      <c r="AK12" s="119">
        <f t="shared" ca="1" si="13"/>
        <v>97050568</v>
      </c>
      <c r="AL12" s="115">
        <f t="shared" ca="1" si="14"/>
        <v>95109556.640000001</v>
      </c>
      <c r="AM12" s="26"/>
      <c r="AN12" s="14">
        <v>4.1666666666666664E-2</v>
      </c>
      <c r="AO12" s="14">
        <f t="shared" si="5"/>
        <v>0</v>
      </c>
      <c r="AP12" s="15">
        <f t="shared" ca="1" si="15"/>
        <v>325735.78442535654</v>
      </c>
      <c r="AQ12" s="16">
        <f t="shared" ca="1" si="6"/>
        <v>0</v>
      </c>
      <c r="AR12" s="16">
        <f t="shared" ca="1" si="16"/>
        <v>6793539.7600000007</v>
      </c>
      <c r="AS12" s="52">
        <f t="shared" ca="1" si="17"/>
        <v>0</v>
      </c>
      <c r="AT12" s="16"/>
      <c r="AU12" s="16"/>
      <c r="AV12" s="52"/>
      <c r="AW12" s="23">
        <f t="shared" ca="1" si="18"/>
        <v>6793539.7600000007</v>
      </c>
      <c r="AX12" s="40">
        <f t="shared" ca="1" si="19"/>
        <v>90257028.239999995</v>
      </c>
    </row>
    <row r="13" spans="1:50" s="3" customFormat="1" ht="35.25" customHeight="1" thickTop="1" thickBot="1" x14ac:dyDescent="0.3">
      <c r="A13" s="2">
        <v>9</v>
      </c>
      <c r="B13" s="2">
        <v>9</v>
      </c>
      <c r="C13" s="2" t="s">
        <v>88</v>
      </c>
      <c r="D13" s="2" t="s">
        <v>88</v>
      </c>
      <c r="E13" s="2">
        <v>1</v>
      </c>
      <c r="F13" s="2"/>
      <c r="G13" s="53"/>
      <c r="H13" s="7"/>
      <c r="I13" s="84">
        <v>2388728</v>
      </c>
      <c r="J13" s="25">
        <v>31</v>
      </c>
      <c r="K13" s="16">
        <f t="shared" si="0"/>
        <v>74050568</v>
      </c>
      <c r="L13" s="28"/>
      <c r="M13" s="14">
        <v>4.1666666666666664E-2</v>
      </c>
      <c r="N13" s="14">
        <f t="shared" si="1"/>
        <v>0</v>
      </c>
      <c r="O13" s="15">
        <f t="shared" ca="1" si="7"/>
        <v>456029.8911163772</v>
      </c>
      <c r="P13" s="16">
        <f t="shared" ca="1" si="2"/>
        <v>0</v>
      </c>
      <c r="Q13" s="25"/>
      <c r="R13" s="14">
        <v>4.1666666666666664E-2</v>
      </c>
      <c r="S13" s="14">
        <f t="shared" si="3"/>
        <v>0</v>
      </c>
      <c r="T13" s="15">
        <f t="shared" ca="1" si="8"/>
        <v>2388728</v>
      </c>
      <c r="U13" s="16">
        <f t="shared" ca="1" si="9"/>
        <v>0</v>
      </c>
      <c r="V13" s="39"/>
      <c r="W13" s="39"/>
      <c r="X13" s="39"/>
      <c r="Y13" s="39"/>
      <c r="Z13" s="35"/>
      <c r="AA13" s="64">
        <f ca="1">SUMIF('جدول پایه سنوات'!A$1:B$15,G$5:G$17,'جدول پایه سنوات'!B$1:B$15)*J13</f>
        <v>0</v>
      </c>
      <c r="AB13" s="64"/>
      <c r="AC13" s="64">
        <f t="shared" si="4"/>
        <v>7166184</v>
      </c>
      <c r="AD13" s="64">
        <f t="shared" si="10"/>
        <v>0</v>
      </c>
      <c r="AE13" s="64"/>
      <c r="AF13" s="15">
        <v>9000000</v>
      </c>
      <c r="AG13" s="52">
        <v>14000000</v>
      </c>
      <c r="AH13" s="52"/>
      <c r="AI13" s="52">
        <f t="shared" ca="1" si="11"/>
        <v>2388728</v>
      </c>
      <c r="AJ13" s="23">
        <f t="shared" ca="1" si="12"/>
        <v>97050568</v>
      </c>
      <c r="AK13" s="119">
        <f t="shared" ca="1" si="13"/>
        <v>97050568</v>
      </c>
      <c r="AL13" s="115">
        <f t="shared" ca="1" si="14"/>
        <v>95109556.640000001</v>
      </c>
      <c r="AM13" s="26"/>
      <c r="AN13" s="14">
        <v>4.1666666666666664E-2</v>
      </c>
      <c r="AO13" s="14">
        <f t="shared" si="5"/>
        <v>0</v>
      </c>
      <c r="AP13" s="15">
        <f t="shared" ca="1" si="15"/>
        <v>325735.78442535654</v>
      </c>
      <c r="AQ13" s="16">
        <f t="shared" ca="1" si="6"/>
        <v>0</v>
      </c>
      <c r="AR13" s="16">
        <f t="shared" ca="1" si="16"/>
        <v>6793539.7600000007</v>
      </c>
      <c r="AS13" s="52">
        <f t="shared" ca="1" si="17"/>
        <v>0</v>
      </c>
      <c r="AT13" s="16"/>
      <c r="AU13" s="16"/>
      <c r="AV13" s="52"/>
      <c r="AW13" s="23">
        <f t="shared" ca="1" si="18"/>
        <v>6793539.7600000007</v>
      </c>
      <c r="AX13" s="40">
        <f t="shared" ca="1" si="19"/>
        <v>90257028.239999995</v>
      </c>
    </row>
    <row r="14" spans="1:50" s="3" customFormat="1" ht="35.25" customHeight="1" thickTop="1" thickBot="1" x14ac:dyDescent="0.3">
      <c r="A14" s="2">
        <v>10</v>
      </c>
      <c r="B14" s="2">
        <v>10</v>
      </c>
      <c r="C14" s="2" t="s">
        <v>88</v>
      </c>
      <c r="D14" s="2" t="s">
        <v>88</v>
      </c>
      <c r="E14" s="2">
        <v>1</v>
      </c>
      <c r="F14" s="2"/>
      <c r="G14" s="53"/>
      <c r="H14" s="7"/>
      <c r="I14" s="84">
        <v>2388728</v>
      </c>
      <c r="J14" s="25">
        <v>31</v>
      </c>
      <c r="K14" s="16">
        <f t="shared" si="0"/>
        <v>74050568</v>
      </c>
      <c r="L14" s="28"/>
      <c r="M14" s="14">
        <v>4.1666666666666664E-2</v>
      </c>
      <c r="N14" s="14">
        <f t="shared" si="1"/>
        <v>0</v>
      </c>
      <c r="O14" s="15">
        <f t="shared" ca="1" si="7"/>
        <v>456029.8911163772</v>
      </c>
      <c r="P14" s="16">
        <f t="shared" ca="1" si="2"/>
        <v>0</v>
      </c>
      <c r="Q14" s="25"/>
      <c r="R14" s="14">
        <v>4.1666666666666664E-2</v>
      </c>
      <c r="S14" s="14">
        <f t="shared" si="3"/>
        <v>0</v>
      </c>
      <c r="T14" s="15">
        <f t="shared" ca="1" si="8"/>
        <v>2388728</v>
      </c>
      <c r="U14" s="16">
        <f t="shared" ca="1" si="9"/>
        <v>0</v>
      </c>
      <c r="V14" s="39"/>
      <c r="W14" s="39"/>
      <c r="X14" s="39"/>
      <c r="Y14" s="39"/>
      <c r="Z14" s="35"/>
      <c r="AA14" s="64">
        <f ca="1">SUMIF('جدول پایه سنوات'!A$1:B$15,G$5:G$17,'جدول پایه سنوات'!B$1:B$15)*J14</f>
        <v>0</v>
      </c>
      <c r="AB14" s="64"/>
      <c r="AC14" s="64">
        <f t="shared" si="4"/>
        <v>7166184</v>
      </c>
      <c r="AD14" s="64">
        <f t="shared" si="10"/>
        <v>0</v>
      </c>
      <c r="AE14" s="64"/>
      <c r="AF14" s="15">
        <v>9000000</v>
      </c>
      <c r="AG14" s="52">
        <v>14000000</v>
      </c>
      <c r="AH14" s="52"/>
      <c r="AI14" s="52">
        <f t="shared" ca="1" si="11"/>
        <v>2388728</v>
      </c>
      <c r="AJ14" s="23">
        <f t="shared" ca="1" si="12"/>
        <v>97050568</v>
      </c>
      <c r="AK14" s="119">
        <f t="shared" ca="1" si="13"/>
        <v>97050568</v>
      </c>
      <c r="AL14" s="115">
        <f t="shared" ca="1" si="14"/>
        <v>95109556.640000001</v>
      </c>
      <c r="AM14" s="26"/>
      <c r="AN14" s="14">
        <v>4.1666666666666664E-2</v>
      </c>
      <c r="AO14" s="14">
        <f t="shared" si="5"/>
        <v>0</v>
      </c>
      <c r="AP14" s="15">
        <f t="shared" ca="1" si="15"/>
        <v>325735.78442535654</v>
      </c>
      <c r="AQ14" s="16">
        <f t="shared" ca="1" si="6"/>
        <v>0</v>
      </c>
      <c r="AR14" s="16">
        <f t="shared" ca="1" si="16"/>
        <v>6793539.7600000007</v>
      </c>
      <c r="AS14" s="52">
        <f t="shared" ca="1" si="17"/>
        <v>0</v>
      </c>
      <c r="AT14" s="16"/>
      <c r="AU14" s="16"/>
      <c r="AV14" s="52"/>
      <c r="AW14" s="23">
        <f t="shared" ca="1" si="18"/>
        <v>6793539.7600000007</v>
      </c>
      <c r="AX14" s="40">
        <f t="shared" ca="1" si="19"/>
        <v>90257028.239999995</v>
      </c>
    </row>
    <row r="15" spans="1:50" s="3" customFormat="1" ht="35.25" customHeight="1" thickTop="1" thickBot="1" x14ac:dyDescent="0.3">
      <c r="A15" s="2">
        <v>11</v>
      </c>
      <c r="B15" s="2">
        <v>11</v>
      </c>
      <c r="C15" s="2" t="s">
        <v>88</v>
      </c>
      <c r="D15" s="2" t="s">
        <v>88</v>
      </c>
      <c r="E15" s="2">
        <v>1</v>
      </c>
      <c r="F15" s="2"/>
      <c r="G15" s="53"/>
      <c r="H15" s="7"/>
      <c r="I15" s="84">
        <v>2388728</v>
      </c>
      <c r="J15" s="25">
        <v>31</v>
      </c>
      <c r="K15" s="16">
        <f t="shared" si="0"/>
        <v>74050568</v>
      </c>
      <c r="L15" s="28"/>
      <c r="M15" s="14">
        <v>4.1666666666666664E-2</v>
      </c>
      <c r="N15" s="14">
        <f t="shared" si="1"/>
        <v>0</v>
      </c>
      <c r="O15" s="15">
        <f t="shared" ca="1" si="7"/>
        <v>456029.8911163772</v>
      </c>
      <c r="P15" s="16">
        <f t="shared" ca="1" si="2"/>
        <v>0</v>
      </c>
      <c r="Q15" s="25"/>
      <c r="R15" s="14">
        <v>4.1666666666666664E-2</v>
      </c>
      <c r="S15" s="14">
        <f t="shared" si="3"/>
        <v>0</v>
      </c>
      <c r="T15" s="15">
        <f t="shared" ca="1" si="8"/>
        <v>2388728</v>
      </c>
      <c r="U15" s="16">
        <f t="shared" ca="1" si="9"/>
        <v>0</v>
      </c>
      <c r="V15" s="39"/>
      <c r="W15" s="39"/>
      <c r="X15" s="39"/>
      <c r="Y15" s="39"/>
      <c r="Z15" s="35"/>
      <c r="AA15" s="64">
        <f ca="1">SUMIF('جدول پایه سنوات'!A$1:B$15,G$5:G$17,'جدول پایه سنوات'!B$1:B$15)*J15</f>
        <v>0</v>
      </c>
      <c r="AB15" s="64"/>
      <c r="AC15" s="64">
        <f t="shared" si="4"/>
        <v>7166184</v>
      </c>
      <c r="AD15" s="64">
        <f t="shared" si="10"/>
        <v>0</v>
      </c>
      <c r="AE15" s="64"/>
      <c r="AF15" s="15">
        <v>9000000</v>
      </c>
      <c r="AG15" s="52">
        <v>14000000</v>
      </c>
      <c r="AH15" s="52"/>
      <c r="AI15" s="52">
        <f t="shared" ca="1" si="11"/>
        <v>2388728</v>
      </c>
      <c r="AJ15" s="23">
        <f t="shared" ca="1" si="12"/>
        <v>97050568</v>
      </c>
      <c r="AK15" s="119">
        <f t="shared" ca="1" si="13"/>
        <v>97050568</v>
      </c>
      <c r="AL15" s="115">
        <f t="shared" ca="1" si="14"/>
        <v>95109556.640000001</v>
      </c>
      <c r="AM15" s="26"/>
      <c r="AN15" s="14">
        <v>4.1666666666666664E-2</v>
      </c>
      <c r="AO15" s="14">
        <f t="shared" si="5"/>
        <v>0</v>
      </c>
      <c r="AP15" s="15">
        <f t="shared" ca="1" si="15"/>
        <v>325735.78442535654</v>
      </c>
      <c r="AQ15" s="16">
        <f t="shared" ca="1" si="6"/>
        <v>0</v>
      </c>
      <c r="AR15" s="16">
        <f t="shared" ca="1" si="16"/>
        <v>6793539.7600000007</v>
      </c>
      <c r="AS15" s="52">
        <f t="shared" ca="1" si="17"/>
        <v>0</v>
      </c>
      <c r="AT15" s="16"/>
      <c r="AU15" s="16"/>
      <c r="AV15" s="52"/>
      <c r="AW15" s="23">
        <f t="shared" ca="1" si="18"/>
        <v>6793539.7600000007</v>
      </c>
      <c r="AX15" s="40">
        <f t="shared" ca="1" si="19"/>
        <v>90257028.239999995</v>
      </c>
    </row>
    <row r="16" spans="1:50" s="3" customFormat="1" ht="35.25" customHeight="1" thickTop="1" thickBot="1" x14ac:dyDescent="0.3">
      <c r="A16" s="2">
        <v>12</v>
      </c>
      <c r="B16" s="2">
        <v>12</v>
      </c>
      <c r="C16" s="2" t="s">
        <v>88</v>
      </c>
      <c r="D16" s="2" t="s">
        <v>88</v>
      </c>
      <c r="E16" s="2">
        <v>1</v>
      </c>
      <c r="F16" s="2"/>
      <c r="G16" s="53"/>
      <c r="H16" s="7"/>
      <c r="I16" s="84">
        <v>2388728</v>
      </c>
      <c r="J16" s="25">
        <v>18</v>
      </c>
      <c r="K16" s="16">
        <f t="shared" si="0"/>
        <v>42997104</v>
      </c>
      <c r="L16" s="28"/>
      <c r="M16" s="14">
        <v>4.1666666666666664E-2</v>
      </c>
      <c r="N16" s="14">
        <f t="shared" si="1"/>
        <v>0</v>
      </c>
      <c r="O16" s="15">
        <f t="shared" ca="1" si="7"/>
        <v>456029.8911163772</v>
      </c>
      <c r="P16" s="16">
        <f t="shared" ca="1" si="2"/>
        <v>0</v>
      </c>
      <c r="Q16" s="25"/>
      <c r="R16" s="14">
        <v>4.1666666666666664E-2</v>
      </c>
      <c r="S16" s="14">
        <f t="shared" si="3"/>
        <v>0</v>
      </c>
      <c r="T16" s="15">
        <f t="shared" ca="1" si="8"/>
        <v>2388728</v>
      </c>
      <c r="U16" s="16">
        <f t="shared" ca="1" si="9"/>
        <v>0</v>
      </c>
      <c r="V16" s="39"/>
      <c r="W16" s="39"/>
      <c r="X16" s="39"/>
      <c r="Y16" s="39"/>
      <c r="Z16" s="35"/>
      <c r="AA16" s="64">
        <f ca="1">SUMIF('جدول پایه سنوات'!A$1:B$15,G$5:G$17,'جدول پایه سنوات'!B$1:B$15)*J16</f>
        <v>0</v>
      </c>
      <c r="AB16" s="64"/>
      <c r="AC16" s="64">
        <f t="shared" si="4"/>
        <v>7166184</v>
      </c>
      <c r="AD16" s="64">
        <f t="shared" si="10"/>
        <v>0</v>
      </c>
      <c r="AE16" s="64"/>
      <c r="AF16" s="15">
        <v>5225807</v>
      </c>
      <c r="AG16" s="52">
        <v>8129032</v>
      </c>
      <c r="AH16" s="52"/>
      <c r="AI16" s="52">
        <f t="shared" ca="1" si="11"/>
        <v>2388728</v>
      </c>
      <c r="AJ16" s="23">
        <f t="shared" ca="1" si="12"/>
        <v>56351943</v>
      </c>
      <c r="AK16" s="119">
        <f t="shared" ca="1" si="13"/>
        <v>56351943</v>
      </c>
      <c r="AL16" s="115">
        <f t="shared" ca="1" si="14"/>
        <v>55224904.140000001</v>
      </c>
      <c r="AM16" s="26"/>
      <c r="AN16" s="14">
        <v>4.1666666666666664E-2</v>
      </c>
      <c r="AO16" s="14">
        <f t="shared" si="5"/>
        <v>0</v>
      </c>
      <c r="AP16" s="15">
        <f t="shared" ca="1" si="15"/>
        <v>325735.78442535654</v>
      </c>
      <c r="AQ16" s="16">
        <f t="shared" ca="1" si="6"/>
        <v>0</v>
      </c>
      <c r="AR16" s="16">
        <f t="shared" ca="1" si="16"/>
        <v>3944636.0100000002</v>
      </c>
      <c r="AS16" s="52">
        <f t="shared" ca="1" si="17"/>
        <v>0</v>
      </c>
      <c r="AT16" s="16"/>
      <c r="AU16" s="16"/>
      <c r="AV16" s="52"/>
      <c r="AW16" s="23">
        <f t="shared" ca="1" si="18"/>
        <v>3944636.0100000002</v>
      </c>
      <c r="AX16" s="40">
        <f t="shared" ca="1" si="19"/>
        <v>52407306.990000002</v>
      </c>
    </row>
    <row r="17" spans="1:50" s="3" customFormat="1" ht="35.25" customHeight="1" thickTop="1" thickBot="1" x14ac:dyDescent="0.3">
      <c r="A17" s="2">
        <v>13</v>
      </c>
      <c r="B17" s="2">
        <v>13</v>
      </c>
      <c r="C17" s="2" t="s">
        <v>88</v>
      </c>
      <c r="D17" s="2" t="s">
        <v>88</v>
      </c>
      <c r="E17" s="2">
        <v>1</v>
      </c>
      <c r="F17" s="2"/>
      <c r="G17" s="53">
        <v>1</v>
      </c>
      <c r="H17" s="7"/>
      <c r="I17" s="84">
        <v>2388728</v>
      </c>
      <c r="J17" s="25">
        <v>31</v>
      </c>
      <c r="K17" s="16">
        <f t="shared" si="0"/>
        <v>74050568</v>
      </c>
      <c r="L17" s="28"/>
      <c r="M17" s="14">
        <v>4.1666666666666664E-2</v>
      </c>
      <c r="N17" s="14">
        <f t="shared" si="1"/>
        <v>0</v>
      </c>
      <c r="O17" s="15">
        <f t="shared" ca="1" si="7"/>
        <v>469393.52748608793</v>
      </c>
      <c r="P17" s="16">
        <f t="shared" ca="1" si="2"/>
        <v>0</v>
      </c>
      <c r="Q17" s="25"/>
      <c r="R17" s="14">
        <v>4.1666666666666664E-2</v>
      </c>
      <c r="S17" s="14">
        <f t="shared" si="3"/>
        <v>0</v>
      </c>
      <c r="T17" s="15">
        <f t="shared" ca="1" si="8"/>
        <v>2458728</v>
      </c>
      <c r="U17" s="16">
        <f ca="1">Q17*T17</f>
        <v>0</v>
      </c>
      <c r="V17" s="39"/>
      <c r="W17" s="39"/>
      <c r="X17" s="39"/>
      <c r="Y17" s="39"/>
      <c r="Z17" s="35"/>
      <c r="AA17" s="64">
        <f ca="1">SUMIF('جدول پایه سنوات'!A$1:B$15,G$5:G$17,'جدول پایه سنوات'!B$1:B$15)*J17</f>
        <v>2170000</v>
      </c>
      <c r="AB17" s="64"/>
      <c r="AC17" s="64">
        <f t="shared" si="4"/>
        <v>7166184</v>
      </c>
      <c r="AD17" s="64">
        <f t="shared" si="10"/>
        <v>0</v>
      </c>
      <c r="AE17" s="64"/>
      <c r="AF17" s="15">
        <v>5225807</v>
      </c>
      <c r="AG17" s="52">
        <v>8129032</v>
      </c>
      <c r="AH17" s="52"/>
      <c r="AI17" s="52">
        <f t="shared" ca="1" si="11"/>
        <v>2458728</v>
      </c>
      <c r="AJ17" s="23">
        <f t="shared" ca="1" si="12"/>
        <v>89575407</v>
      </c>
      <c r="AK17" s="119">
        <f t="shared" ca="1" si="13"/>
        <v>89575407</v>
      </c>
      <c r="AL17" s="115">
        <f t="shared" ca="1" si="14"/>
        <v>87783898.859999999</v>
      </c>
      <c r="AM17" s="26"/>
      <c r="AN17" s="14">
        <v>4.1666666666666664E-2</v>
      </c>
      <c r="AO17" s="14">
        <f t="shared" si="5"/>
        <v>0</v>
      </c>
      <c r="AP17" s="15">
        <f t="shared" ca="1" si="15"/>
        <v>335281.24330965604</v>
      </c>
      <c r="AQ17" s="16">
        <f t="shared" ca="1" si="6"/>
        <v>0</v>
      </c>
      <c r="AR17" s="16">
        <f t="shared" ca="1" si="16"/>
        <v>6270278.4900000002</v>
      </c>
      <c r="AS17" s="52">
        <f t="shared" ca="1" si="17"/>
        <v>0</v>
      </c>
      <c r="AT17" s="16"/>
      <c r="AU17" s="16"/>
      <c r="AV17" s="52"/>
      <c r="AW17" s="23">
        <f t="shared" ca="1" si="18"/>
        <v>6270278.4900000002</v>
      </c>
      <c r="AX17" s="40">
        <f t="shared" ca="1" si="19"/>
        <v>83305128.510000005</v>
      </c>
    </row>
    <row r="18" spans="1:50" ht="30.75" customHeight="1" thickTop="1" thickBot="1" x14ac:dyDescent="0.7">
      <c r="A18" s="58"/>
      <c r="B18" s="58"/>
      <c r="C18" s="58"/>
      <c r="D18" s="58"/>
      <c r="E18" s="58"/>
      <c r="F18" s="58"/>
      <c r="G18" s="58"/>
      <c r="H18" s="58"/>
      <c r="I18" s="58"/>
      <c r="J18" s="58"/>
      <c r="K18" s="59">
        <f>SUM(K5:K10)</f>
        <v>444303408</v>
      </c>
      <c r="L18" s="58"/>
      <c r="M18" s="58"/>
      <c r="N18" s="58"/>
      <c r="O18" s="58"/>
      <c r="P18" s="59">
        <f ca="1">SUM(P6:P7)</f>
        <v>0</v>
      </c>
      <c r="Q18" s="58"/>
      <c r="R18" s="58"/>
      <c r="S18" s="58"/>
      <c r="T18" s="58"/>
      <c r="U18" s="59">
        <f ca="1">SUM(U6:U7)</f>
        <v>0</v>
      </c>
      <c r="V18" s="58"/>
      <c r="W18" s="58"/>
      <c r="X18" s="58"/>
      <c r="Y18" s="58"/>
      <c r="Z18" s="59">
        <f>SUM(Z5:Z6)</f>
        <v>0</v>
      </c>
      <c r="AA18" s="58"/>
      <c r="AB18" s="58"/>
      <c r="AC18" s="58"/>
      <c r="AD18" s="58"/>
      <c r="AE18" s="58"/>
      <c r="AF18" s="58"/>
      <c r="AG18" s="58"/>
      <c r="AH18" s="58"/>
      <c r="AI18" s="58"/>
      <c r="AJ18" s="44">
        <f ca="1">SUM(AJ5:AJ10)</f>
        <v>582303408</v>
      </c>
      <c r="AK18" s="116"/>
      <c r="AL18" s="116"/>
      <c r="AM18" s="58"/>
      <c r="AN18" s="58"/>
      <c r="AO18" s="58"/>
      <c r="AP18" s="58"/>
      <c r="AQ18" s="59">
        <f ca="1">SUM(AQ5:AQ10)</f>
        <v>0</v>
      </c>
      <c r="AR18" s="59">
        <f ca="1">SUM(AR5:AR10)</f>
        <v>40761238.560000002</v>
      </c>
      <c r="AS18" s="83"/>
      <c r="AT18" s="59"/>
      <c r="AU18" s="59"/>
      <c r="AV18" s="59"/>
      <c r="AW18" s="44"/>
      <c r="AX18" s="44"/>
    </row>
    <row r="19" spans="1:50" ht="15.75" thickBot="1" x14ac:dyDescent="0.3">
      <c r="AW19" s="45"/>
      <c r="AX19" s="45"/>
    </row>
    <row r="20" spans="1:50" ht="49.5" customHeight="1" thickBot="1" x14ac:dyDescent="0.3">
      <c r="A20" s="154"/>
      <c r="B20" s="154"/>
      <c r="C20" s="154"/>
      <c r="G20" s="139">
        <f>SUM(G5:G5)</f>
        <v>0</v>
      </c>
      <c r="H20" s="140"/>
      <c r="L20" s="42"/>
      <c r="O20" s="42"/>
      <c r="P20" s="42"/>
      <c r="Q20" s="47"/>
      <c r="R20" s="48"/>
      <c r="S20" s="48"/>
      <c r="T20" s="49"/>
      <c r="U20" s="49"/>
      <c r="AR20" s="106"/>
      <c r="AV20" s="112"/>
      <c r="AW20" s="155">
        <v>0</v>
      </c>
      <c r="AX20" s="140"/>
    </row>
    <row r="21" spans="1:50" ht="49.5" customHeight="1" thickBot="1" x14ac:dyDescent="0.3">
      <c r="L21" s="42"/>
      <c r="O21" s="42"/>
      <c r="P21" s="42"/>
      <c r="Q21" s="47"/>
      <c r="R21" s="48"/>
      <c r="S21" s="48"/>
      <c r="T21" s="49"/>
      <c r="U21" s="49"/>
      <c r="AV21" s="112"/>
      <c r="AW21" s="139">
        <v>0</v>
      </c>
      <c r="AX21" s="140"/>
    </row>
    <row r="22" spans="1:50" ht="49.5" customHeight="1" thickBot="1" x14ac:dyDescent="0.3">
      <c r="L22" s="42"/>
      <c r="O22" s="42"/>
      <c r="P22" s="42"/>
      <c r="Q22" s="47"/>
      <c r="R22" s="48"/>
      <c r="S22" s="48"/>
      <c r="T22" s="49"/>
      <c r="U22" s="49"/>
      <c r="AV22" s="111"/>
      <c r="AW22" s="139">
        <f>AW21-G20</f>
        <v>0</v>
      </c>
      <c r="AX22" s="140"/>
    </row>
  </sheetData>
  <autoFilter ref="A4:AS17"/>
  <mergeCells count="14">
    <mergeCell ref="AW21:AX21"/>
    <mergeCell ref="AW22:AX22"/>
    <mergeCell ref="A2:I2"/>
    <mergeCell ref="A3:I3"/>
    <mergeCell ref="J3:K3"/>
    <mergeCell ref="L3:P3"/>
    <mergeCell ref="Q3:U3"/>
    <mergeCell ref="J2:AJ2"/>
    <mergeCell ref="A20:C20"/>
    <mergeCell ref="G20:H20"/>
    <mergeCell ref="AW20:AX20"/>
    <mergeCell ref="AM2:AW2"/>
    <mergeCell ref="AB3:AD3"/>
    <mergeCell ref="AM3:AQ3"/>
  </mergeCell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15"/>
  <sheetViews>
    <sheetView rightToLeft="1" workbookViewId="0">
      <selection activeCell="M16" sqref="M16"/>
    </sheetView>
  </sheetViews>
  <sheetFormatPr defaultRowHeight="15" x14ac:dyDescent="0.25"/>
  <cols>
    <col min="2" max="2" width="9.140625" style="120"/>
  </cols>
  <sheetData>
    <row r="1" spans="1:2" x14ac:dyDescent="0.25">
      <c r="A1">
        <v>1</v>
      </c>
      <c r="B1" s="120">
        <v>70000</v>
      </c>
    </row>
    <row r="2" spans="1:2" x14ac:dyDescent="0.25">
      <c r="A2">
        <v>2</v>
      </c>
      <c r="B2" s="120">
        <v>155400</v>
      </c>
    </row>
    <row r="3" spans="1:2" x14ac:dyDescent="0.25">
      <c r="A3">
        <v>3</v>
      </c>
      <c r="B3" s="120">
        <v>258734</v>
      </c>
    </row>
    <row r="4" spans="1:2" x14ac:dyDescent="0.25">
      <c r="A4">
        <v>4</v>
      </c>
      <c r="B4" s="120">
        <v>353801</v>
      </c>
    </row>
    <row r="5" spans="1:2" x14ac:dyDescent="0.25">
      <c r="A5">
        <v>5</v>
      </c>
      <c r="B5" s="120">
        <v>439363</v>
      </c>
    </row>
    <row r="6" spans="1:2" x14ac:dyDescent="0.25">
      <c r="A6">
        <v>6</v>
      </c>
      <c r="B6" s="120">
        <v>508237</v>
      </c>
    </row>
    <row r="7" spans="1:2" x14ac:dyDescent="0.25">
      <c r="A7">
        <v>7</v>
      </c>
      <c r="B7" s="120">
        <v>564942</v>
      </c>
    </row>
    <row r="8" spans="1:2" x14ac:dyDescent="0.25">
      <c r="A8">
        <v>8</v>
      </c>
      <c r="B8" s="120">
        <v>627544</v>
      </c>
    </row>
    <row r="9" spans="1:2" x14ac:dyDescent="0.25">
      <c r="A9">
        <v>9</v>
      </c>
      <c r="B9" s="120">
        <v>668788</v>
      </c>
    </row>
    <row r="10" spans="1:2" x14ac:dyDescent="0.25">
      <c r="A10">
        <v>10</v>
      </c>
      <c r="B10" s="120">
        <v>715804</v>
      </c>
    </row>
    <row r="11" spans="1:2" x14ac:dyDescent="0.25">
      <c r="A11">
        <v>11</v>
      </c>
      <c r="B11" s="120">
        <v>743309</v>
      </c>
    </row>
    <row r="12" spans="1:2" x14ac:dyDescent="0.25">
      <c r="A12">
        <v>12</v>
      </c>
      <c r="B12" s="120">
        <v>761794</v>
      </c>
    </row>
    <row r="13" spans="1:2" x14ac:dyDescent="0.25">
      <c r="A13">
        <v>13</v>
      </c>
      <c r="B13" s="120">
        <v>778738</v>
      </c>
    </row>
    <row r="14" spans="1:2" x14ac:dyDescent="0.25">
      <c r="A14">
        <v>14</v>
      </c>
      <c r="B14" s="120">
        <v>793243</v>
      </c>
    </row>
    <row r="15" spans="1:2" x14ac:dyDescent="0.25">
      <c r="A15">
        <v>15</v>
      </c>
      <c r="B15" s="120">
        <v>808606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tabColor rgb="FFFF0000"/>
  </sheetPr>
  <dimension ref="B1:E15"/>
  <sheetViews>
    <sheetView rightToLeft="1" zoomScaleNormal="100" workbookViewId="0">
      <selection activeCell="C30" sqref="C30"/>
    </sheetView>
  </sheetViews>
  <sheetFormatPr defaultColWidth="9" defaultRowHeight="19.5" x14ac:dyDescent="0.25"/>
  <cols>
    <col min="1" max="1" width="32" style="1" customWidth="1"/>
    <col min="2" max="2" width="9" style="101" customWidth="1"/>
    <col min="3" max="3" width="10.5703125" style="1" customWidth="1"/>
    <col min="4" max="4" width="8.85546875" style="1" customWidth="1"/>
    <col min="5" max="5" width="9" style="101" customWidth="1"/>
    <col min="6" max="6" width="10.5703125" style="1" customWidth="1"/>
    <col min="7" max="16384" width="9" style="1"/>
  </cols>
  <sheetData>
    <row r="1" spans="2:5" ht="19.5" customHeight="1" x14ac:dyDescent="0.25">
      <c r="B1" s="1"/>
      <c r="E1" s="1"/>
    </row>
    <row r="2" spans="2:5" x14ac:dyDescent="0.25">
      <c r="B2" s="1"/>
      <c r="E2" s="1"/>
    </row>
    <row r="3" spans="2:5" x14ac:dyDescent="0.25">
      <c r="B3" s="1"/>
      <c r="E3" s="1"/>
    </row>
    <row r="4" spans="2:5" x14ac:dyDescent="0.25">
      <c r="B4" s="1"/>
      <c r="E4" s="1"/>
    </row>
    <row r="5" spans="2:5" x14ac:dyDescent="0.25">
      <c r="B5" s="1"/>
      <c r="E5" s="1"/>
    </row>
    <row r="6" spans="2:5" x14ac:dyDescent="0.25">
      <c r="B6" s="1"/>
      <c r="E6" s="1"/>
    </row>
    <row r="7" spans="2:5" x14ac:dyDescent="0.25">
      <c r="B7" s="1"/>
      <c r="E7" s="1"/>
    </row>
    <row r="8" spans="2:5" x14ac:dyDescent="0.25">
      <c r="B8" s="1"/>
      <c r="E8" s="1"/>
    </row>
    <row r="9" spans="2:5" x14ac:dyDescent="0.25">
      <c r="B9" s="1"/>
      <c r="E9" s="1"/>
    </row>
    <row r="10" spans="2:5" x14ac:dyDescent="0.25">
      <c r="B10" s="1"/>
      <c r="E10" s="1"/>
    </row>
    <row r="11" spans="2:5" x14ac:dyDescent="0.25">
      <c r="B11" s="1"/>
      <c r="E11" s="1"/>
    </row>
    <row r="12" spans="2:5" x14ac:dyDescent="0.25">
      <c r="B12" s="1"/>
      <c r="E12" s="1"/>
    </row>
    <row r="13" spans="2:5" x14ac:dyDescent="0.25">
      <c r="B13" s="1"/>
      <c r="E13" s="1"/>
    </row>
    <row r="14" spans="2:5" x14ac:dyDescent="0.25">
      <c r="B14" s="1"/>
      <c r="E14" s="1"/>
    </row>
    <row r="15" spans="2:5" x14ac:dyDescent="0.25">
      <c r="B15" s="1"/>
      <c r="E15" s="1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E16"/>
  <sheetViews>
    <sheetView rightToLeft="1" zoomScale="85" zoomScaleNormal="85" workbookViewId="0">
      <selection activeCell="P21" sqref="P21"/>
    </sheetView>
  </sheetViews>
  <sheetFormatPr defaultColWidth="9" defaultRowHeight="19.5" x14ac:dyDescent="0.25"/>
  <cols>
    <col min="1" max="1" width="32" style="1" customWidth="1"/>
    <col min="2" max="2" width="9" style="101" customWidth="1"/>
    <col min="3" max="3" width="10.5703125" style="1" customWidth="1"/>
    <col min="4" max="4" width="8.85546875" style="1" customWidth="1"/>
    <col min="5" max="5" width="9" style="101" customWidth="1"/>
    <col min="6" max="6" width="10.5703125" style="1" customWidth="1"/>
    <col min="7" max="16384" width="9" style="1"/>
  </cols>
  <sheetData>
    <row r="1" spans="2:5" ht="19.5" customHeight="1" x14ac:dyDescent="0.25">
      <c r="B1" s="1"/>
      <c r="E1" s="1"/>
    </row>
    <row r="2" spans="2:5" x14ac:dyDescent="0.25">
      <c r="B2" s="1"/>
      <c r="E2" s="1"/>
    </row>
    <row r="3" spans="2:5" x14ac:dyDescent="0.25">
      <c r="B3" s="1"/>
      <c r="E3" s="1"/>
    </row>
    <row r="4" spans="2:5" x14ac:dyDescent="0.25">
      <c r="B4" s="1"/>
      <c r="E4" s="1"/>
    </row>
    <row r="5" spans="2:5" x14ac:dyDescent="0.25">
      <c r="B5" s="1"/>
      <c r="E5" s="1"/>
    </row>
    <row r="6" spans="2:5" x14ac:dyDescent="0.25">
      <c r="B6" s="1"/>
      <c r="E6" s="1"/>
    </row>
    <row r="7" spans="2:5" x14ac:dyDescent="0.25">
      <c r="B7" s="1"/>
      <c r="E7" s="1"/>
    </row>
    <row r="8" spans="2:5" x14ac:dyDescent="0.25">
      <c r="B8" s="1"/>
      <c r="E8" s="1"/>
    </row>
    <row r="9" spans="2:5" x14ac:dyDescent="0.25">
      <c r="B9" s="1"/>
      <c r="E9" s="1"/>
    </row>
    <row r="10" spans="2:5" x14ac:dyDescent="0.25">
      <c r="B10" s="1"/>
      <c r="E10" s="1"/>
    </row>
    <row r="11" spans="2:5" x14ac:dyDescent="0.25">
      <c r="B11" s="1"/>
      <c r="E11" s="1"/>
    </row>
    <row r="12" spans="2:5" x14ac:dyDescent="0.25">
      <c r="B12" s="1"/>
      <c r="E12" s="1"/>
    </row>
    <row r="13" spans="2:5" x14ac:dyDescent="0.25">
      <c r="B13" s="1"/>
      <c r="E13" s="1"/>
    </row>
    <row r="14" spans="2:5" x14ac:dyDescent="0.25">
      <c r="B14" s="1"/>
      <c r="E14" s="1"/>
    </row>
    <row r="15" spans="2:5" x14ac:dyDescent="0.25">
      <c r="B15" s="1"/>
      <c r="E15" s="1"/>
    </row>
    <row r="16" spans="2:5" x14ac:dyDescent="0.25">
      <c r="B16" s="1"/>
      <c r="E16" s="1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E16"/>
  <sheetViews>
    <sheetView rightToLeft="1" zoomScale="70" zoomScaleNormal="70" workbookViewId="0">
      <selection activeCell="N24" sqref="N24"/>
    </sheetView>
  </sheetViews>
  <sheetFormatPr defaultColWidth="9" defaultRowHeight="19.5" x14ac:dyDescent="0.25"/>
  <cols>
    <col min="1" max="1" width="32" style="1" customWidth="1"/>
    <col min="2" max="2" width="9" style="101" customWidth="1"/>
    <col min="3" max="3" width="10.5703125" style="1" customWidth="1"/>
    <col min="4" max="4" width="8.85546875" style="1" customWidth="1"/>
    <col min="5" max="5" width="9" style="101" customWidth="1"/>
    <col min="6" max="6" width="10.5703125" style="1" customWidth="1"/>
    <col min="7" max="16384" width="9" style="1"/>
  </cols>
  <sheetData>
    <row r="1" spans="2:5" ht="19.5" customHeight="1" x14ac:dyDescent="0.25">
      <c r="B1" s="1"/>
      <c r="E1" s="1"/>
    </row>
    <row r="2" spans="2:5" x14ac:dyDescent="0.25">
      <c r="B2" s="1"/>
      <c r="E2" s="1"/>
    </row>
    <row r="3" spans="2:5" x14ac:dyDescent="0.25">
      <c r="B3" s="1"/>
      <c r="E3" s="1"/>
    </row>
    <row r="4" spans="2:5" x14ac:dyDescent="0.25">
      <c r="B4" s="1"/>
      <c r="E4" s="1"/>
    </row>
    <row r="5" spans="2:5" x14ac:dyDescent="0.25">
      <c r="B5" s="1"/>
      <c r="E5" s="1"/>
    </row>
    <row r="6" spans="2:5" x14ac:dyDescent="0.25">
      <c r="B6" s="1"/>
      <c r="E6" s="1"/>
    </row>
    <row r="7" spans="2:5" x14ac:dyDescent="0.25">
      <c r="B7" s="1"/>
      <c r="E7" s="1"/>
    </row>
    <row r="8" spans="2:5" x14ac:dyDescent="0.25">
      <c r="B8" s="1"/>
      <c r="E8" s="1"/>
    </row>
    <row r="9" spans="2:5" x14ac:dyDescent="0.25">
      <c r="B9" s="1"/>
      <c r="E9" s="1"/>
    </row>
    <row r="10" spans="2:5" x14ac:dyDescent="0.25">
      <c r="B10" s="1"/>
      <c r="E10" s="1"/>
    </row>
    <row r="11" spans="2:5" x14ac:dyDescent="0.25">
      <c r="B11" s="1"/>
      <c r="E11" s="1"/>
    </row>
    <row r="12" spans="2:5" x14ac:dyDescent="0.25">
      <c r="B12" s="1"/>
      <c r="E12" s="1"/>
    </row>
    <row r="13" spans="2:5" x14ac:dyDescent="0.25">
      <c r="B13" s="1"/>
      <c r="E13" s="1"/>
    </row>
    <row r="14" spans="2:5" x14ac:dyDescent="0.25">
      <c r="B14" s="1"/>
      <c r="E14" s="1"/>
    </row>
    <row r="15" spans="2:5" x14ac:dyDescent="0.25">
      <c r="B15" s="1"/>
      <c r="E15" s="1"/>
    </row>
    <row r="16" spans="2:5" x14ac:dyDescent="0.25">
      <c r="B16" s="1"/>
      <c r="E16" s="1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E16"/>
  <sheetViews>
    <sheetView rightToLeft="1" zoomScale="85" zoomScaleNormal="85" workbookViewId="0">
      <selection activeCell="N24" sqref="N24"/>
    </sheetView>
  </sheetViews>
  <sheetFormatPr defaultColWidth="9" defaultRowHeight="19.5" x14ac:dyDescent="0.25"/>
  <cols>
    <col min="1" max="1" width="32" style="1" customWidth="1"/>
    <col min="2" max="2" width="9" style="101" customWidth="1"/>
    <col min="3" max="3" width="10.5703125" style="1" customWidth="1"/>
    <col min="4" max="4" width="8.85546875" style="1" customWidth="1"/>
    <col min="5" max="5" width="9" style="101" customWidth="1"/>
    <col min="6" max="6" width="10.5703125" style="1" customWidth="1"/>
    <col min="7" max="16384" width="9" style="1"/>
  </cols>
  <sheetData>
    <row r="1" spans="2:5" ht="19.5" customHeight="1" x14ac:dyDescent="0.25">
      <c r="B1" s="1"/>
      <c r="E1" s="1"/>
    </row>
    <row r="2" spans="2:5" x14ac:dyDescent="0.25">
      <c r="B2" s="1"/>
      <c r="E2" s="1"/>
    </row>
    <row r="3" spans="2:5" x14ac:dyDescent="0.25">
      <c r="B3" s="1"/>
      <c r="E3" s="1"/>
    </row>
    <row r="4" spans="2:5" x14ac:dyDescent="0.25">
      <c r="B4" s="1"/>
      <c r="E4" s="1"/>
    </row>
    <row r="5" spans="2:5" x14ac:dyDescent="0.25">
      <c r="B5" s="1"/>
      <c r="E5" s="1"/>
    </row>
    <row r="6" spans="2:5" x14ac:dyDescent="0.25">
      <c r="B6" s="1"/>
      <c r="E6" s="1"/>
    </row>
    <row r="7" spans="2:5" x14ac:dyDescent="0.25">
      <c r="B7" s="1"/>
      <c r="E7" s="1"/>
    </row>
    <row r="8" spans="2:5" x14ac:dyDescent="0.25">
      <c r="B8" s="1"/>
      <c r="E8" s="1"/>
    </row>
    <row r="9" spans="2:5" x14ac:dyDescent="0.25">
      <c r="B9" s="1"/>
      <c r="E9" s="1"/>
    </row>
    <row r="10" spans="2:5" x14ac:dyDescent="0.25">
      <c r="B10" s="1"/>
      <c r="E10" s="1"/>
    </row>
    <row r="11" spans="2:5" x14ac:dyDescent="0.25">
      <c r="B11" s="1"/>
      <c r="E11" s="1"/>
    </row>
    <row r="12" spans="2:5" x14ac:dyDescent="0.25">
      <c r="B12" s="1"/>
      <c r="E12" s="1"/>
    </row>
    <row r="13" spans="2:5" x14ac:dyDescent="0.25">
      <c r="B13" s="1"/>
      <c r="E13" s="1"/>
    </row>
    <row r="14" spans="2:5" x14ac:dyDescent="0.25">
      <c r="B14" s="1"/>
      <c r="E14" s="1"/>
    </row>
    <row r="15" spans="2:5" x14ac:dyDescent="0.25">
      <c r="B15" s="1"/>
      <c r="E15" s="1"/>
    </row>
    <row r="16" spans="2:5" x14ac:dyDescent="0.25">
      <c r="B16" s="1"/>
      <c r="E16" s="1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5:BE21"/>
  <sheetViews>
    <sheetView rightToLeft="1" topLeftCell="Y1" zoomScale="85" zoomScaleNormal="85" workbookViewId="0">
      <selection activeCell="AI20" sqref="AI20"/>
    </sheetView>
  </sheetViews>
  <sheetFormatPr defaultRowHeight="15" x14ac:dyDescent="0.25"/>
  <cols>
    <col min="1" max="1" width="4.7109375" customWidth="1"/>
    <col min="2" max="2" width="7.140625" customWidth="1"/>
    <col min="6" max="6" width="8.85546875" customWidth="1"/>
    <col min="9" max="9" width="9.85546875" bestFit="1" customWidth="1"/>
    <col min="10" max="10" width="5.140625" customWidth="1"/>
    <col min="11" max="11" width="9.85546875" customWidth="1"/>
    <col min="12" max="12" width="6.42578125" customWidth="1"/>
    <col min="13" max="14" width="9" hidden="1" customWidth="1"/>
    <col min="15" max="15" width="9.85546875" bestFit="1" customWidth="1"/>
    <col min="16" max="16" width="11.42578125" customWidth="1"/>
    <col min="17" max="17" width="6.42578125" customWidth="1"/>
    <col min="18" max="19" width="9" hidden="1" customWidth="1"/>
    <col min="20" max="20" width="9.85546875" bestFit="1" customWidth="1"/>
    <col min="21" max="21" width="11.42578125" customWidth="1"/>
    <col min="22" max="23" width="9.42578125" customWidth="1"/>
    <col min="27" max="27" width="5.140625" hidden="1" customWidth="1"/>
    <col min="28" max="28" width="7.42578125" hidden="1" customWidth="1"/>
    <col min="29" max="29" width="0" hidden="1" customWidth="1"/>
    <col min="30" max="30" width="6.28515625" hidden="1" customWidth="1"/>
    <col min="31" max="31" width="9.42578125" hidden="1" customWidth="1"/>
    <col min="32" max="32" width="0" hidden="1" customWidth="1"/>
    <col min="34" max="34" width="14.42578125" bestFit="1" customWidth="1"/>
    <col min="35" max="35" width="14" bestFit="1" customWidth="1"/>
    <col min="36" max="37" width="9" hidden="1" customWidth="1"/>
    <col min="38" max="38" width="12.42578125" bestFit="1" customWidth="1"/>
    <col min="40" max="40" width="3.140625" customWidth="1"/>
    <col min="43" max="43" width="3.140625" customWidth="1"/>
    <col min="46" max="46" width="3.140625" customWidth="1"/>
    <col min="49" max="49" width="3.140625" customWidth="1"/>
    <col min="54" max="54" width="11.42578125" bestFit="1" customWidth="1"/>
    <col min="55" max="57" width="14.85546875" customWidth="1"/>
  </cols>
  <sheetData>
    <row r="5" spans="1:57" ht="15.75" thickBot="1" x14ac:dyDescent="0.3"/>
    <row r="6" spans="1:57" s="1" customFormat="1" ht="39" customHeight="1" thickTop="1" thickBot="1" x14ac:dyDescent="0.3">
      <c r="A6" s="141" t="s">
        <v>55</v>
      </c>
      <c r="B6" s="141"/>
      <c r="C6" s="141"/>
      <c r="D6" s="141"/>
      <c r="E6" s="141"/>
      <c r="F6" s="141"/>
      <c r="G6" s="141"/>
      <c r="H6" s="141"/>
      <c r="I6" s="142"/>
      <c r="J6" s="150" t="s">
        <v>16</v>
      </c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3"/>
      <c r="AI6" s="152" t="s">
        <v>25</v>
      </c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6"/>
      <c r="BC6" s="29" t="s">
        <v>40</v>
      </c>
      <c r="BD6" s="29" t="s">
        <v>43</v>
      </c>
      <c r="BE6" s="29" t="s">
        <v>53</v>
      </c>
    </row>
    <row r="7" spans="1:57" s="3" customFormat="1" ht="30.75" customHeight="1" thickBot="1" x14ac:dyDescent="0.3">
      <c r="A7" s="143" t="s">
        <v>8</v>
      </c>
      <c r="B7" s="143"/>
      <c r="C7" s="143"/>
      <c r="D7" s="143"/>
      <c r="E7" s="143"/>
      <c r="F7" s="143"/>
      <c r="G7" s="143"/>
      <c r="H7" s="144"/>
      <c r="I7" s="144"/>
      <c r="J7" s="145" t="s">
        <v>9</v>
      </c>
      <c r="K7" s="146"/>
      <c r="L7" s="147" t="s">
        <v>14</v>
      </c>
      <c r="M7" s="148"/>
      <c r="N7" s="148"/>
      <c r="O7" s="148"/>
      <c r="P7" s="149"/>
      <c r="Q7" s="147" t="s">
        <v>18</v>
      </c>
      <c r="R7" s="148"/>
      <c r="S7" s="148"/>
      <c r="T7" s="148"/>
      <c r="U7" s="149"/>
      <c r="V7" s="163" t="s">
        <v>17</v>
      </c>
      <c r="W7" s="158"/>
      <c r="X7" s="146"/>
      <c r="Y7" s="46" t="s">
        <v>56</v>
      </c>
      <c r="Z7" s="20" t="s">
        <v>57</v>
      </c>
      <c r="AA7" s="147" t="s">
        <v>18</v>
      </c>
      <c r="AB7" s="148"/>
      <c r="AC7" s="149"/>
      <c r="AD7" s="147" t="s">
        <v>19</v>
      </c>
      <c r="AE7" s="148"/>
      <c r="AF7" s="149"/>
      <c r="AG7" s="36" t="s">
        <v>19</v>
      </c>
      <c r="AH7" s="21" t="s">
        <v>32</v>
      </c>
      <c r="AI7" s="160" t="s">
        <v>26</v>
      </c>
      <c r="AJ7" s="161"/>
      <c r="AK7" s="161"/>
      <c r="AL7" s="161"/>
      <c r="AM7" s="162"/>
      <c r="AN7" s="166" t="s">
        <v>29</v>
      </c>
      <c r="AO7" s="167"/>
      <c r="AP7" s="168"/>
      <c r="AQ7" s="166" t="s">
        <v>33</v>
      </c>
      <c r="AR7" s="167"/>
      <c r="AS7" s="168"/>
      <c r="AT7" s="166" t="s">
        <v>34</v>
      </c>
      <c r="AU7" s="167"/>
      <c r="AV7" s="168"/>
      <c r="AW7" s="166" t="s">
        <v>36</v>
      </c>
      <c r="AX7" s="167"/>
      <c r="AY7" s="168"/>
      <c r="AZ7" s="12" t="s">
        <v>35</v>
      </c>
      <c r="BA7" s="50" t="s">
        <v>58</v>
      </c>
      <c r="BB7" s="21" t="s">
        <v>39</v>
      </c>
      <c r="BC7" s="30"/>
      <c r="BD7" s="30"/>
      <c r="BE7" s="30"/>
    </row>
    <row r="8" spans="1:57" s="3" customFormat="1" ht="25.5" customHeight="1" x14ac:dyDescent="0.25">
      <c r="A8" s="4" t="s">
        <v>0</v>
      </c>
      <c r="B8" s="4" t="s">
        <v>1</v>
      </c>
      <c r="C8" s="4" t="s">
        <v>3</v>
      </c>
      <c r="D8" s="4" t="s">
        <v>2</v>
      </c>
      <c r="E8" s="4" t="s">
        <v>4</v>
      </c>
      <c r="F8" s="4" t="s">
        <v>5</v>
      </c>
      <c r="G8" s="4" t="s">
        <v>6</v>
      </c>
      <c r="H8" s="5" t="s">
        <v>44</v>
      </c>
      <c r="I8" s="5" t="s">
        <v>7</v>
      </c>
      <c r="J8" s="24" t="s">
        <v>10</v>
      </c>
      <c r="K8" s="11" t="s">
        <v>11</v>
      </c>
      <c r="L8" s="6" t="s">
        <v>15</v>
      </c>
      <c r="M8" s="4"/>
      <c r="N8" s="4"/>
      <c r="O8" s="4" t="s">
        <v>24</v>
      </c>
      <c r="P8" s="11" t="s">
        <v>11</v>
      </c>
      <c r="Q8" s="6" t="s">
        <v>15</v>
      </c>
      <c r="R8" s="4"/>
      <c r="S8" s="4"/>
      <c r="T8" s="4" t="s">
        <v>22</v>
      </c>
      <c r="U8" s="11" t="s">
        <v>11</v>
      </c>
      <c r="V8" s="6" t="s">
        <v>20</v>
      </c>
      <c r="W8" s="34" t="s">
        <v>54</v>
      </c>
      <c r="X8" s="11" t="s">
        <v>11</v>
      </c>
      <c r="Y8" s="11" t="s">
        <v>11</v>
      </c>
      <c r="Z8" s="13" t="s">
        <v>11</v>
      </c>
      <c r="AA8" s="6" t="s">
        <v>21</v>
      </c>
      <c r="AB8" s="4" t="s">
        <v>22</v>
      </c>
      <c r="AC8" s="11" t="s">
        <v>11</v>
      </c>
      <c r="AD8" s="6" t="s">
        <v>21</v>
      </c>
      <c r="AE8" s="4" t="s">
        <v>23</v>
      </c>
      <c r="AF8" s="11" t="s">
        <v>11</v>
      </c>
      <c r="AG8" s="11" t="s">
        <v>11</v>
      </c>
      <c r="AH8" s="22" t="s">
        <v>11</v>
      </c>
      <c r="AI8" s="27" t="s">
        <v>27</v>
      </c>
      <c r="AJ8" s="8"/>
      <c r="AK8" s="8"/>
      <c r="AL8" s="9" t="s">
        <v>28</v>
      </c>
      <c r="AM8" s="10" t="s">
        <v>11</v>
      </c>
      <c r="AN8" s="6" t="s">
        <v>30</v>
      </c>
      <c r="AO8" s="4" t="s">
        <v>31</v>
      </c>
      <c r="AP8" s="11" t="s">
        <v>11</v>
      </c>
      <c r="AQ8" s="6" t="s">
        <v>30</v>
      </c>
      <c r="AR8" s="4" t="s">
        <v>31</v>
      </c>
      <c r="AS8" s="11" t="s">
        <v>11</v>
      </c>
      <c r="AT8" s="6" t="s">
        <v>20</v>
      </c>
      <c r="AU8" s="4" t="s">
        <v>31</v>
      </c>
      <c r="AV8" s="11" t="s">
        <v>11</v>
      </c>
      <c r="AW8" s="6" t="s">
        <v>37</v>
      </c>
      <c r="AX8" s="4" t="s">
        <v>38</v>
      </c>
      <c r="AY8" s="11" t="s">
        <v>11</v>
      </c>
      <c r="AZ8" s="13" t="s">
        <v>11</v>
      </c>
      <c r="BA8" s="51" t="s">
        <v>11</v>
      </c>
      <c r="BB8" s="22" t="s">
        <v>11</v>
      </c>
      <c r="BC8" s="31" t="s">
        <v>11</v>
      </c>
      <c r="BD8" s="32"/>
      <c r="BE8" s="32"/>
    </row>
    <row r="9" spans="1:57" s="3" customFormat="1" ht="35.25" customHeight="1" thickBot="1" x14ac:dyDescent="0.3">
      <c r="A9" s="2">
        <v>1</v>
      </c>
      <c r="B9" s="2">
        <v>3</v>
      </c>
      <c r="C9" s="2" t="s">
        <v>12</v>
      </c>
      <c r="D9" s="2" t="s">
        <v>13</v>
      </c>
      <c r="E9" s="2"/>
      <c r="F9" s="2"/>
      <c r="G9" s="2"/>
      <c r="H9" s="7">
        <v>15</v>
      </c>
      <c r="I9" s="7">
        <f>5500000/30</f>
        <v>183333.33333333334</v>
      </c>
      <c r="J9" s="25">
        <v>0</v>
      </c>
      <c r="K9" s="16">
        <f t="shared" ref="K9:K14" si="0">J9*I9</f>
        <v>0</v>
      </c>
      <c r="L9" s="28"/>
      <c r="M9" s="14">
        <v>4.1666666666666664E-2</v>
      </c>
      <c r="N9" s="14">
        <f t="shared" ref="N9:N14" si="1">L9/M9</f>
        <v>0</v>
      </c>
      <c r="O9" s="15">
        <f t="shared" ref="O9:O14" si="2">(I9/8)*140%</f>
        <v>32083.333333333332</v>
      </c>
      <c r="P9" s="16">
        <f t="shared" ref="P9:P14" si="3">N9*O9</f>
        <v>0</v>
      </c>
      <c r="Q9" s="28"/>
      <c r="R9" s="14">
        <v>4.1666666666666664E-2</v>
      </c>
      <c r="S9" s="14">
        <f t="shared" ref="S9:S14" si="4">Q9/R9</f>
        <v>0</v>
      </c>
      <c r="T9" s="15">
        <f>(I9/8)*140%</f>
        <v>32083.333333333332</v>
      </c>
      <c r="U9" s="16">
        <f t="shared" ref="U9:U14" si="5">S9*T9</f>
        <v>0</v>
      </c>
      <c r="V9" s="17">
        <v>0</v>
      </c>
      <c r="W9" s="16">
        <v>300000</v>
      </c>
      <c r="X9" s="16">
        <f t="shared" ref="X9:X14" si="6">W9*V9</f>
        <v>0</v>
      </c>
      <c r="Y9" s="39">
        <v>0</v>
      </c>
      <c r="Z9" s="35">
        <v>0</v>
      </c>
      <c r="AA9" s="17">
        <v>0</v>
      </c>
      <c r="AB9" s="18"/>
      <c r="AC9" s="19"/>
      <c r="AD9" s="17">
        <v>0</v>
      </c>
      <c r="AE9" s="18"/>
      <c r="AF9" s="19">
        <f t="shared" ref="AF9:AF14" si="7">AE9*AD9</f>
        <v>0</v>
      </c>
      <c r="AG9" s="38">
        <v>0</v>
      </c>
      <c r="AH9" s="23">
        <f>K9+P9+X9+Y9+Z9+AG9+U9</f>
        <v>0</v>
      </c>
      <c r="AI9" s="26"/>
      <c r="AJ9" s="14">
        <v>4.1666666666666664E-2</v>
      </c>
      <c r="AK9" s="14">
        <f t="shared" ref="AK9:AK14" si="8">AI9/AJ9</f>
        <v>0</v>
      </c>
      <c r="AL9" s="15">
        <f t="shared" ref="AL9:AL14" si="9">(I9/8)*140%</f>
        <v>32083.333333333332</v>
      </c>
      <c r="AM9" s="16">
        <f t="shared" ref="AM9:AM14" si="10">AK9*AL9</f>
        <v>0</v>
      </c>
      <c r="AN9" s="17">
        <v>0</v>
      </c>
      <c r="AO9" s="16">
        <v>50000</v>
      </c>
      <c r="AP9" s="16">
        <f t="shared" ref="AP9:AP14" si="11">AO9*AN9</f>
        <v>0</v>
      </c>
      <c r="AQ9" s="17">
        <v>0</v>
      </c>
      <c r="AR9" s="16">
        <v>50000</v>
      </c>
      <c r="AS9" s="16">
        <f t="shared" ref="AS9:AS14" si="12">AR9*AQ9</f>
        <v>0</v>
      </c>
      <c r="AT9" s="17">
        <v>0</v>
      </c>
      <c r="AU9" s="16">
        <v>100000</v>
      </c>
      <c r="AV9" s="16">
        <f t="shared" ref="AV9:AV14" si="13">AU9*AT9</f>
        <v>0</v>
      </c>
      <c r="AW9" s="17">
        <v>0</v>
      </c>
      <c r="AX9" s="16">
        <v>250000</v>
      </c>
      <c r="AY9" s="16">
        <f t="shared" ref="AY9:AY14" si="14">AX9*AW9</f>
        <v>0</v>
      </c>
      <c r="AZ9" s="16">
        <v>0</v>
      </c>
      <c r="BA9" s="52"/>
      <c r="BB9" s="23">
        <f t="shared" ref="BB9:BB14" si="15">AZ9+AY9+AV9+AS9+AP9+AM9</f>
        <v>0</v>
      </c>
      <c r="BC9" s="40">
        <f t="shared" ref="BC9:BC14" si="16">AH9-BB9</f>
        <v>0</v>
      </c>
      <c r="BD9" s="33"/>
      <c r="BE9" s="33"/>
    </row>
    <row r="10" spans="1:57" s="3" customFormat="1" ht="35.25" customHeight="1" thickTop="1" thickBot="1" x14ac:dyDescent="0.3">
      <c r="A10" s="2">
        <v>2</v>
      </c>
      <c r="B10" s="2">
        <v>6</v>
      </c>
      <c r="C10" s="2" t="s">
        <v>41</v>
      </c>
      <c r="D10" s="2" t="s">
        <v>42</v>
      </c>
      <c r="E10" s="2"/>
      <c r="F10" s="2"/>
      <c r="G10" s="2"/>
      <c r="H10" s="7">
        <v>1</v>
      </c>
      <c r="I10" s="7">
        <f>9000000/30</f>
        <v>300000</v>
      </c>
      <c r="J10" s="25">
        <v>0</v>
      </c>
      <c r="K10" s="16">
        <f t="shared" si="0"/>
        <v>0</v>
      </c>
      <c r="L10" s="28"/>
      <c r="M10" s="14">
        <v>4.1666666666666664E-2</v>
      </c>
      <c r="N10" s="14">
        <f t="shared" si="1"/>
        <v>0</v>
      </c>
      <c r="O10" s="15">
        <f t="shared" si="2"/>
        <v>52500</v>
      </c>
      <c r="P10" s="16">
        <f t="shared" si="3"/>
        <v>0</v>
      </c>
      <c r="Q10" s="28"/>
      <c r="R10" s="14">
        <v>4.1666666666666664E-2</v>
      </c>
      <c r="S10" s="14">
        <f t="shared" si="4"/>
        <v>0</v>
      </c>
      <c r="T10" s="15">
        <f t="shared" ref="T10:T14" si="17">(I10/8)*140%</f>
        <v>52500</v>
      </c>
      <c r="U10" s="16">
        <f t="shared" si="5"/>
        <v>0</v>
      </c>
      <c r="V10" s="17">
        <v>0</v>
      </c>
      <c r="W10" s="16">
        <v>300000</v>
      </c>
      <c r="X10" s="16">
        <f t="shared" si="6"/>
        <v>0</v>
      </c>
      <c r="Y10" s="39">
        <v>0</v>
      </c>
      <c r="Z10" s="35"/>
      <c r="AA10" s="17"/>
      <c r="AB10" s="18"/>
      <c r="AC10" s="19">
        <v>0</v>
      </c>
      <c r="AD10" s="17"/>
      <c r="AE10" s="18"/>
      <c r="AF10" s="19">
        <f t="shared" si="7"/>
        <v>0</v>
      </c>
      <c r="AG10" s="38">
        <v>0</v>
      </c>
      <c r="AH10" s="23">
        <f t="shared" ref="AH10:AH14" si="18">K10+P10+X10+Y10+Z10+AG10+U10</f>
        <v>0</v>
      </c>
      <c r="AI10" s="26"/>
      <c r="AJ10" s="14">
        <v>4.1666666666666664E-2</v>
      </c>
      <c r="AK10" s="14">
        <f t="shared" si="8"/>
        <v>0</v>
      </c>
      <c r="AL10" s="15">
        <f t="shared" si="9"/>
        <v>52500</v>
      </c>
      <c r="AM10" s="16">
        <f t="shared" si="10"/>
        <v>0</v>
      </c>
      <c r="AN10" s="17">
        <v>0</v>
      </c>
      <c r="AO10" s="16">
        <v>50000</v>
      </c>
      <c r="AP10" s="16">
        <f t="shared" si="11"/>
        <v>0</v>
      </c>
      <c r="AQ10" s="17">
        <v>0</v>
      </c>
      <c r="AR10" s="16">
        <v>50000</v>
      </c>
      <c r="AS10" s="16">
        <f t="shared" si="12"/>
        <v>0</v>
      </c>
      <c r="AT10" s="17">
        <v>0</v>
      </c>
      <c r="AU10" s="16">
        <v>100000</v>
      </c>
      <c r="AV10" s="16">
        <f t="shared" si="13"/>
        <v>0</v>
      </c>
      <c r="AW10" s="17">
        <v>0</v>
      </c>
      <c r="AX10" s="16">
        <v>250000</v>
      </c>
      <c r="AY10" s="16">
        <f t="shared" si="14"/>
        <v>0</v>
      </c>
      <c r="AZ10" s="16">
        <v>0</v>
      </c>
      <c r="BA10" s="52"/>
      <c r="BB10" s="23">
        <f t="shared" si="15"/>
        <v>0</v>
      </c>
      <c r="BC10" s="40">
        <f t="shared" si="16"/>
        <v>0</v>
      </c>
      <c r="BD10" s="33"/>
      <c r="BE10" s="33"/>
    </row>
    <row r="11" spans="1:57" s="3" customFormat="1" ht="35.25" customHeight="1" thickTop="1" thickBot="1" x14ac:dyDescent="0.3">
      <c r="A11" s="2">
        <v>3</v>
      </c>
      <c r="B11" s="2">
        <v>4</v>
      </c>
      <c r="C11" s="2" t="s">
        <v>45</v>
      </c>
      <c r="D11" s="2" t="s">
        <v>46</v>
      </c>
      <c r="E11" s="2"/>
      <c r="F11" s="2"/>
      <c r="G11" s="2"/>
      <c r="H11" s="7">
        <v>15</v>
      </c>
      <c r="I11" s="7">
        <f>5500000/30</f>
        <v>183333.33333333334</v>
      </c>
      <c r="J11" s="25">
        <v>0</v>
      </c>
      <c r="K11" s="16">
        <f t="shared" si="0"/>
        <v>0</v>
      </c>
      <c r="L11" s="28"/>
      <c r="M11" s="14">
        <v>4.1666666666666664E-2</v>
      </c>
      <c r="N11" s="14">
        <f t="shared" si="1"/>
        <v>0</v>
      </c>
      <c r="O11" s="15">
        <f t="shared" si="2"/>
        <v>32083.333333333332</v>
      </c>
      <c r="P11" s="16">
        <f t="shared" si="3"/>
        <v>0</v>
      </c>
      <c r="Q11" s="28"/>
      <c r="R11" s="14">
        <v>4.1666666666666664E-2</v>
      </c>
      <c r="S11" s="14">
        <f t="shared" si="4"/>
        <v>0</v>
      </c>
      <c r="T11" s="15">
        <f t="shared" si="17"/>
        <v>32083.333333333332</v>
      </c>
      <c r="U11" s="16">
        <f t="shared" si="5"/>
        <v>0</v>
      </c>
      <c r="V11" s="17">
        <v>0</v>
      </c>
      <c r="W11" s="16">
        <v>300000</v>
      </c>
      <c r="X11" s="16">
        <f t="shared" si="6"/>
        <v>0</v>
      </c>
      <c r="Y11" s="39">
        <v>0</v>
      </c>
      <c r="Z11" s="35">
        <v>0</v>
      </c>
      <c r="AA11" s="17"/>
      <c r="AB11" s="18"/>
      <c r="AC11" s="19"/>
      <c r="AD11" s="17"/>
      <c r="AE11" s="18"/>
      <c r="AF11" s="19">
        <f t="shared" si="7"/>
        <v>0</v>
      </c>
      <c r="AG11" s="38">
        <v>0</v>
      </c>
      <c r="AH11" s="23">
        <f t="shared" si="18"/>
        <v>0</v>
      </c>
      <c r="AI11" s="26"/>
      <c r="AJ11" s="14">
        <v>4.1666666666666664E-2</v>
      </c>
      <c r="AK11" s="14">
        <f t="shared" si="8"/>
        <v>0</v>
      </c>
      <c r="AL11" s="15">
        <f t="shared" si="9"/>
        <v>32083.333333333332</v>
      </c>
      <c r="AM11" s="16">
        <f t="shared" si="10"/>
        <v>0</v>
      </c>
      <c r="AN11" s="17">
        <v>0</v>
      </c>
      <c r="AO11" s="16">
        <v>50000</v>
      </c>
      <c r="AP11" s="16">
        <f t="shared" si="11"/>
        <v>0</v>
      </c>
      <c r="AQ11" s="17">
        <v>0</v>
      </c>
      <c r="AR11" s="16">
        <v>50000</v>
      </c>
      <c r="AS11" s="16">
        <f t="shared" si="12"/>
        <v>0</v>
      </c>
      <c r="AT11" s="17">
        <v>0</v>
      </c>
      <c r="AU11" s="16">
        <v>100000</v>
      </c>
      <c r="AV11" s="16">
        <f t="shared" si="13"/>
        <v>0</v>
      </c>
      <c r="AW11" s="17">
        <v>0</v>
      </c>
      <c r="AX11" s="16">
        <v>250000</v>
      </c>
      <c r="AY11" s="16">
        <f t="shared" si="14"/>
        <v>0</v>
      </c>
      <c r="AZ11" s="16">
        <v>0</v>
      </c>
      <c r="BA11" s="52"/>
      <c r="BB11" s="23">
        <f t="shared" si="15"/>
        <v>0</v>
      </c>
      <c r="BC11" s="40">
        <f t="shared" si="16"/>
        <v>0</v>
      </c>
      <c r="BD11" s="33"/>
      <c r="BE11" s="33"/>
    </row>
    <row r="12" spans="1:57" s="3" customFormat="1" ht="35.25" customHeight="1" thickTop="1" thickBot="1" x14ac:dyDescent="0.3">
      <c r="A12" s="2">
        <v>4</v>
      </c>
      <c r="B12" s="2">
        <v>5</v>
      </c>
      <c r="C12" s="2" t="s">
        <v>47</v>
      </c>
      <c r="D12" s="2" t="s">
        <v>48</v>
      </c>
      <c r="E12" s="2"/>
      <c r="F12" s="2"/>
      <c r="G12" s="2"/>
      <c r="H12" s="7">
        <v>12</v>
      </c>
      <c r="I12" s="7">
        <f>7000000/30</f>
        <v>233333.33333333334</v>
      </c>
      <c r="J12" s="25">
        <v>0</v>
      </c>
      <c r="K12" s="16">
        <f t="shared" si="0"/>
        <v>0</v>
      </c>
      <c r="L12" s="28"/>
      <c r="M12" s="14">
        <v>4.1666666666666664E-2</v>
      </c>
      <c r="N12" s="14">
        <f t="shared" si="1"/>
        <v>0</v>
      </c>
      <c r="O12" s="15">
        <f t="shared" si="2"/>
        <v>40833.333333333336</v>
      </c>
      <c r="P12" s="16">
        <f t="shared" si="3"/>
        <v>0</v>
      </c>
      <c r="Q12" s="28"/>
      <c r="R12" s="14">
        <v>4.1666666666666664E-2</v>
      </c>
      <c r="S12" s="14">
        <f t="shared" si="4"/>
        <v>0</v>
      </c>
      <c r="T12" s="15">
        <f t="shared" si="17"/>
        <v>40833.333333333336</v>
      </c>
      <c r="U12" s="16">
        <f t="shared" si="5"/>
        <v>0</v>
      </c>
      <c r="V12" s="17">
        <v>0</v>
      </c>
      <c r="W12" s="16">
        <v>300000</v>
      </c>
      <c r="X12" s="16">
        <f t="shared" si="6"/>
        <v>0</v>
      </c>
      <c r="Y12" s="39">
        <v>0</v>
      </c>
      <c r="Z12" s="35">
        <v>0</v>
      </c>
      <c r="AA12" s="17"/>
      <c r="AB12" s="18"/>
      <c r="AC12" s="19"/>
      <c r="AD12" s="17"/>
      <c r="AE12" s="18"/>
      <c r="AF12" s="19">
        <f t="shared" si="7"/>
        <v>0</v>
      </c>
      <c r="AG12" s="38">
        <v>0</v>
      </c>
      <c r="AH12" s="23">
        <f t="shared" si="18"/>
        <v>0</v>
      </c>
      <c r="AI12" s="26"/>
      <c r="AJ12" s="14">
        <v>4.1666666666666664E-2</v>
      </c>
      <c r="AK12" s="14">
        <f t="shared" si="8"/>
        <v>0</v>
      </c>
      <c r="AL12" s="15">
        <f t="shared" si="9"/>
        <v>40833.333333333336</v>
      </c>
      <c r="AM12" s="16">
        <f t="shared" si="10"/>
        <v>0</v>
      </c>
      <c r="AN12" s="17">
        <v>0</v>
      </c>
      <c r="AO12" s="16">
        <v>50000</v>
      </c>
      <c r="AP12" s="16">
        <f t="shared" si="11"/>
        <v>0</v>
      </c>
      <c r="AQ12" s="17">
        <v>0</v>
      </c>
      <c r="AR12" s="16">
        <v>50000</v>
      </c>
      <c r="AS12" s="16">
        <f t="shared" si="12"/>
        <v>0</v>
      </c>
      <c r="AT12" s="17">
        <v>0</v>
      </c>
      <c r="AU12" s="16">
        <v>100000</v>
      </c>
      <c r="AV12" s="16">
        <f t="shared" si="13"/>
        <v>0</v>
      </c>
      <c r="AW12" s="17">
        <v>0</v>
      </c>
      <c r="AX12" s="16">
        <v>250000</v>
      </c>
      <c r="AY12" s="16">
        <f t="shared" si="14"/>
        <v>0</v>
      </c>
      <c r="AZ12" s="16">
        <v>0</v>
      </c>
      <c r="BA12" s="52"/>
      <c r="BB12" s="23">
        <f t="shared" si="15"/>
        <v>0</v>
      </c>
      <c r="BC12" s="40">
        <f t="shared" si="16"/>
        <v>0</v>
      </c>
      <c r="BD12" s="33"/>
      <c r="BE12" s="33"/>
    </row>
    <row r="13" spans="1:57" s="3" customFormat="1" ht="35.25" customHeight="1" thickTop="1" thickBot="1" x14ac:dyDescent="0.3">
      <c r="A13" s="2">
        <v>5</v>
      </c>
      <c r="B13" s="2">
        <v>7</v>
      </c>
      <c r="C13" s="2" t="s">
        <v>49</v>
      </c>
      <c r="D13" s="2" t="s">
        <v>50</v>
      </c>
      <c r="E13" s="2"/>
      <c r="F13" s="2"/>
      <c r="G13" s="2"/>
      <c r="H13" s="7">
        <v>16</v>
      </c>
      <c r="I13" s="7">
        <f>4500000/30</f>
        <v>150000</v>
      </c>
      <c r="J13" s="25">
        <v>0</v>
      </c>
      <c r="K13" s="16">
        <f t="shared" si="0"/>
        <v>0</v>
      </c>
      <c r="L13" s="28"/>
      <c r="M13" s="14">
        <v>4.1666666666666664E-2</v>
      </c>
      <c r="N13" s="14">
        <f t="shared" si="1"/>
        <v>0</v>
      </c>
      <c r="O13" s="15">
        <f t="shared" si="2"/>
        <v>26250</v>
      </c>
      <c r="P13" s="16">
        <f t="shared" si="3"/>
        <v>0</v>
      </c>
      <c r="Q13" s="28"/>
      <c r="R13" s="14">
        <v>4.1666666666666664E-2</v>
      </c>
      <c r="S13" s="14">
        <f t="shared" si="4"/>
        <v>0</v>
      </c>
      <c r="T13" s="15">
        <f t="shared" si="17"/>
        <v>26250</v>
      </c>
      <c r="U13" s="16">
        <f t="shared" si="5"/>
        <v>0</v>
      </c>
      <c r="V13" s="17">
        <v>0</v>
      </c>
      <c r="W13" s="16">
        <v>300000</v>
      </c>
      <c r="X13" s="16">
        <f t="shared" si="6"/>
        <v>0</v>
      </c>
      <c r="Y13" s="39">
        <v>0</v>
      </c>
      <c r="Z13" s="35">
        <v>0</v>
      </c>
      <c r="AA13" s="17"/>
      <c r="AB13" s="18"/>
      <c r="AC13" s="19"/>
      <c r="AD13" s="17"/>
      <c r="AE13" s="18"/>
      <c r="AF13" s="19">
        <f t="shared" si="7"/>
        <v>0</v>
      </c>
      <c r="AG13" s="38">
        <v>0</v>
      </c>
      <c r="AH13" s="23">
        <f t="shared" si="18"/>
        <v>0</v>
      </c>
      <c r="AI13" s="26"/>
      <c r="AJ13" s="14">
        <v>4.1666666666666664E-2</v>
      </c>
      <c r="AK13" s="14">
        <f t="shared" si="8"/>
        <v>0</v>
      </c>
      <c r="AL13" s="15">
        <f t="shared" si="9"/>
        <v>26250</v>
      </c>
      <c r="AM13" s="16">
        <f t="shared" si="10"/>
        <v>0</v>
      </c>
      <c r="AN13" s="17">
        <v>0</v>
      </c>
      <c r="AO13" s="16">
        <v>50000</v>
      </c>
      <c r="AP13" s="16">
        <f t="shared" si="11"/>
        <v>0</v>
      </c>
      <c r="AQ13" s="17">
        <v>0</v>
      </c>
      <c r="AR13" s="16">
        <v>50000</v>
      </c>
      <c r="AS13" s="16">
        <f t="shared" si="12"/>
        <v>0</v>
      </c>
      <c r="AT13" s="17">
        <v>0</v>
      </c>
      <c r="AU13" s="16">
        <v>100000</v>
      </c>
      <c r="AV13" s="16">
        <f t="shared" si="13"/>
        <v>0</v>
      </c>
      <c r="AW13" s="17">
        <v>0</v>
      </c>
      <c r="AX13" s="16">
        <v>250000</v>
      </c>
      <c r="AY13" s="16">
        <f t="shared" si="14"/>
        <v>0</v>
      </c>
      <c r="AZ13" s="16">
        <v>0</v>
      </c>
      <c r="BA13" s="52"/>
      <c r="BB13" s="23">
        <f t="shared" si="15"/>
        <v>0</v>
      </c>
      <c r="BC13" s="40">
        <f t="shared" si="16"/>
        <v>0</v>
      </c>
      <c r="BD13" s="33"/>
      <c r="BE13" s="33"/>
    </row>
    <row r="14" spans="1:57" s="3" customFormat="1" ht="35.25" customHeight="1" thickTop="1" thickBot="1" x14ac:dyDescent="0.3">
      <c r="A14" s="2">
        <v>6</v>
      </c>
      <c r="B14" s="2">
        <v>8</v>
      </c>
      <c r="C14" s="2" t="s">
        <v>51</v>
      </c>
      <c r="D14" s="2" t="s">
        <v>52</v>
      </c>
      <c r="E14" s="2"/>
      <c r="F14" s="2"/>
      <c r="G14" s="2"/>
      <c r="H14" s="7">
        <v>7</v>
      </c>
      <c r="I14" s="7">
        <f>4500000/30</f>
        <v>150000</v>
      </c>
      <c r="J14" s="25">
        <v>0</v>
      </c>
      <c r="K14" s="16">
        <f t="shared" si="0"/>
        <v>0</v>
      </c>
      <c r="L14" s="28"/>
      <c r="M14" s="14">
        <v>4.1666666666666664E-2</v>
      </c>
      <c r="N14" s="14">
        <f t="shared" si="1"/>
        <v>0</v>
      </c>
      <c r="O14" s="15">
        <f t="shared" si="2"/>
        <v>26250</v>
      </c>
      <c r="P14" s="16">
        <f t="shared" si="3"/>
        <v>0</v>
      </c>
      <c r="Q14" s="28"/>
      <c r="R14" s="14">
        <v>4.1666666666666664E-2</v>
      </c>
      <c r="S14" s="14">
        <f t="shared" si="4"/>
        <v>0</v>
      </c>
      <c r="T14" s="15">
        <f t="shared" si="17"/>
        <v>26250</v>
      </c>
      <c r="U14" s="16">
        <f t="shared" si="5"/>
        <v>0</v>
      </c>
      <c r="V14" s="17">
        <v>0</v>
      </c>
      <c r="W14" s="16">
        <v>300000</v>
      </c>
      <c r="X14" s="16">
        <f t="shared" si="6"/>
        <v>0</v>
      </c>
      <c r="Y14" s="39">
        <v>0</v>
      </c>
      <c r="Z14" s="35"/>
      <c r="AA14" s="17"/>
      <c r="AB14" s="18"/>
      <c r="AC14" s="19"/>
      <c r="AD14" s="17"/>
      <c r="AE14" s="18"/>
      <c r="AF14" s="19">
        <f t="shared" si="7"/>
        <v>0</v>
      </c>
      <c r="AG14" s="38">
        <v>0</v>
      </c>
      <c r="AH14" s="23">
        <f t="shared" si="18"/>
        <v>0</v>
      </c>
      <c r="AI14" s="26"/>
      <c r="AJ14" s="14">
        <v>4.1666666666666664E-2</v>
      </c>
      <c r="AK14" s="14">
        <f t="shared" si="8"/>
        <v>0</v>
      </c>
      <c r="AL14" s="15">
        <f t="shared" si="9"/>
        <v>26250</v>
      </c>
      <c r="AM14" s="16">
        <f t="shared" si="10"/>
        <v>0</v>
      </c>
      <c r="AN14" s="17">
        <v>0</v>
      </c>
      <c r="AO14" s="16">
        <v>50000</v>
      </c>
      <c r="AP14" s="16">
        <f t="shared" si="11"/>
        <v>0</v>
      </c>
      <c r="AQ14" s="17"/>
      <c r="AR14" s="16">
        <v>50000</v>
      </c>
      <c r="AS14" s="16">
        <f t="shared" si="12"/>
        <v>0</v>
      </c>
      <c r="AT14" s="17"/>
      <c r="AU14" s="16">
        <v>100000</v>
      </c>
      <c r="AV14" s="16">
        <f t="shared" si="13"/>
        <v>0</v>
      </c>
      <c r="AW14" s="17">
        <v>0</v>
      </c>
      <c r="AX14" s="16">
        <v>250000</v>
      </c>
      <c r="AY14" s="16">
        <f t="shared" si="14"/>
        <v>0</v>
      </c>
      <c r="AZ14" s="16">
        <v>0</v>
      </c>
      <c r="BA14" s="52"/>
      <c r="BB14" s="23">
        <f t="shared" si="15"/>
        <v>0</v>
      </c>
      <c r="BC14" s="40">
        <f t="shared" si="16"/>
        <v>0</v>
      </c>
      <c r="BD14" s="33"/>
      <c r="BE14" s="33"/>
    </row>
    <row r="15" spans="1:57" ht="15.75" thickTop="1" x14ac:dyDescent="0.25">
      <c r="AZ15" s="43">
        <f>SUM(AZ9:AZ14)</f>
        <v>0</v>
      </c>
      <c r="BA15" s="43"/>
      <c r="BB15" s="37">
        <f>SUM(BB9:BB14)</f>
        <v>0</v>
      </c>
    </row>
    <row r="18" spans="34:55" ht="15.75" thickBot="1" x14ac:dyDescent="0.3"/>
    <row r="19" spans="34:55" ht="30.75" customHeight="1" thickBot="1" x14ac:dyDescent="0.7">
      <c r="AH19" s="41">
        <f>SUM(AH9:AH14)</f>
        <v>0</v>
      </c>
      <c r="BB19" s="44">
        <f>BB15-AZ15</f>
        <v>0</v>
      </c>
      <c r="BC19" s="44">
        <f>SUM(BC9:BC14)</f>
        <v>0</v>
      </c>
    </row>
    <row r="20" spans="34:55" ht="15.75" thickBot="1" x14ac:dyDescent="0.3">
      <c r="BB20" s="45"/>
      <c r="BC20" s="45"/>
    </row>
    <row r="21" spans="34:55" ht="49.5" customHeight="1" thickBot="1" x14ac:dyDescent="0.8">
      <c r="BB21" s="164"/>
      <c r="BC21" s="165"/>
    </row>
  </sheetData>
  <autoFilter ref="A8:BE14"/>
  <mergeCells count="16">
    <mergeCell ref="BB21:BC21"/>
    <mergeCell ref="AN7:AP7"/>
    <mergeCell ref="AQ7:AS7"/>
    <mergeCell ref="AT7:AV7"/>
    <mergeCell ref="AW7:AY7"/>
    <mergeCell ref="A6:I6"/>
    <mergeCell ref="AI6:BB6"/>
    <mergeCell ref="A7:I7"/>
    <mergeCell ref="J7:K7"/>
    <mergeCell ref="L7:P7"/>
    <mergeCell ref="V7:X7"/>
    <mergeCell ref="AA7:AC7"/>
    <mergeCell ref="AD7:AF7"/>
    <mergeCell ref="AI7:AM7"/>
    <mergeCell ref="Q7:U7"/>
    <mergeCell ref="J6:AH6"/>
  </mergeCell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فيش حقوقی</vt:lpstr>
      <vt:lpstr>JALALI-base - fish</vt:lpstr>
      <vt:lpstr>جدول پایه سنوات</vt:lpstr>
      <vt:lpstr>بخشنامه1403</vt:lpstr>
      <vt:lpstr>بخشنامه1402</vt:lpstr>
      <vt:lpstr>بخشنامه1401</vt:lpstr>
      <vt:lpstr>بخشنامه1400</vt:lpstr>
      <vt:lpstr>MJ-base1</vt:lpstr>
      <vt:lpstr>'فيش حقوقی'!Print_Area</vt:lpstr>
    </vt:vector>
  </TitlesOfParts>
  <Company>Moorche 30 DVDs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JalaliM</cp:lastModifiedBy>
  <cp:lastPrinted>2024-04-30T04:38:48Z</cp:lastPrinted>
  <dcterms:created xsi:type="dcterms:W3CDTF">2015-04-20T06:29:44Z</dcterms:created>
  <dcterms:modified xsi:type="dcterms:W3CDTF">2024-04-30T07:42:09Z</dcterms:modified>
</cp:coreProperties>
</file>